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17"/>
  <workbookPr filterPrivacy="1" codeName="ThisWorkbook" defaultThemeVersion="124226"/>
  <xr:revisionPtr revIDLastSave="407" documentId="13_ncr:1_{24818495-CC25-43D6-9299-684F5FA7AA58}" xr6:coauthVersionLast="47" xr6:coauthVersionMax="47" xr10:uidLastSave="{699F7C6F-F8C3-415B-855F-CC903423FFFF}"/>
  <bookViews>
    <workbookView xWindow="0" yWindow="0" windowWidth="14400" windowHeight="15600" tabRatio="739" firstSheet="9" activeTab="5" xr2:uid="{00000000-000D-0000-FFFF-FFFF00000000}"/>
  </bookViews>
  <sheets>
    <sheet name="Summary Sensitivity" sheetId="16" state="hidden" r:id="rId1"/>
    <sheet name="Summary" sheetId="11" r:id="rId2"/>
    <sheet name="Sheet1" sheetId="15" state="hidden" r:id="rId3"/>
    <sheet name="Costs and Assumptions" sheetId="1" r:id="rId4"/>
    <sheet name="Fuel Savings" sheetId="13" r:id="rId5"/>
    <sheet name="Maintenance" sheetId="8" r:id="rId6"/>
    <sheet name="Emissions" sheetId="7" r:id="rId7"/>
    <sheet name="Recreation" sheetId="14" state="hidden" r:id="rId8"/>
    <sheet name="BEB Purchase Scenario" sheetId="3" r:id="rId9"/>
    <sheet name="No Purchase Scenario" sheetId="12" r:id="rId10"/>
    <sheet name="2023 Dollar Value Lookup" sheetId="10" r:id="rId11"/>
  </sheets>
  <externalReferences>
    <externalReference r:id="rId12"/>
  </externalReferences>
  <definedNames>
    <definedName name="Opt1Maintenance">[1]Maintenance!$B$13</definedName>
    <definedName name="TrailerMaintenance">[1]Maintenance!$B$15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1" l="1"/>
  <c r="G9" i="1"/>
  <c r="G8" i="1"/>
  <c r="F9" i="1"/>
  <c r="C77" i="7"/>
  <c r="C72" i="7"/>
  <c r="C73" i="7" s="1"/>
  <c r="C47" i="7"/>
  <c r="C57" i="7"/>
  <c r="C58" i="7" s="1"/>
  <c r="C78" i="7" s="1"/>
  <c r="C63" i="7"/>
  <c r="C64" i="7" s="1"/>
  <c r="C80" i="7" s="1"/>
  <c r="C60" i="7"/>
  <c r="C61" i="7" s="1"/>
  <c r="C79" i="7" s="1"/>
  <c r="C81" i="7" s="1"/>
  <c r="G32" i="1"/>
  <c r="G31" i="1"/>
  <c r="S23" i="12"/>
  <c r="S24" i="12" s="1"/>
  <c r="T23" i="12"/>
  <c r="T24" i="12" s="1"/>
  <c r="U23" i="12"/>
  <c r="U24" i="12" s="1"/>
  <c r="V23" i="12"/>
  <c r="V24" i="12" s="1"/>
  <c r="W23" i="12"/>
  <c r="W24" i="12" s="1"/>
  <c r="X23" i="12"/>
  <c r="X24" i="12" s="1"/>
  <c r="Y23" i="12"/>
  <c r="Y24" i="12" s="1"/>
  <c r="Z23" i="12"/>
  <c r="Z24" i="12" s="1"/>
  <c r="AA23" i="12"/>
  <c r="AA24" i="12" s="1"/>
  <c r="AB23" i="12"/>
  <c r="AB24" i="12" s="1"/>
  <c r="AC23" i="12"/>
  <c r="AC24" i="12" s="1"/>
  <c r="AD23" i="12"/>
  <c r="AD24" i="12" s="1"/>
  <c r="AE23" i="12"/>
  <c r="AE24" i="12" s="1"/>
  <c r="AF23" i="12"/>
  <c r="AF24" i="12" s="1"/>
  <c r="AG23" i="12"/>
  <c r="AG24" i="12" s="1"/>
  <c r="D23" i="12"/>
  <c r="D24" i="12" s="1"/>
  <c r="E23" i="12"/>
  <c r="E24" i="12" s="1"/>
  <c r="F23" i="12"/>
  <c r="F24" i="12" s="1"/>
  <c r="G23" i="12"/>
  <c r="G24" i="12" s="1"/>
  <c r="H23" i="12"/>
  <c r="H24" i="12" s="1"/>
  <c r="I23" i="12"/>
  <c r="I24" i="12" s="1"/>
  <c r="J23" i="12"/>
  <c r="J24" i="12" s="1"/>
  <c r="K23" i="12"/>
  <c r="K24" i="12" s="1"/>
  <c r="L23" i="12"/>
  <c r="L24" i="12" s="1"/>
  <c r="M23" i="12"/>
  <c r="M24" i="12" s="1"/>
  <c r="N23" i="12"/>
  <c r="N24" i="12" s="1"/>
  <c r="O23" i="12"/>
  <c r="O24" i="12" s="1"/>
  <c r="P23" i="12"/>
  <c r="P24" i="12" s="1"/>
  <c r="Q23" i="12"/>
  <c r="Q24" i="12" s="1"/>
  <c r="R23" i="12"/>
  <c r="R24" i="12" s="1"/>
  <c r="C23" i="12"/>
  <c r="C31" i="12"/>
  <c r="AE21" i="12"/>
  <c r="AF21" i="12"/>
  <c r="AG21" i="12"/>
  <c r="X21" i="12"/>
  <c r="Y21" i="12"/>
  <c r="Z21" i="12"/>
  <c r="AA21" i="12"/>
  <c r="AB21" i="12"/>
  <c r="AC21" i="12"/>
  <c r="AD21" i="12"/>
  <c r="N21" i="12"/>
  <c r="O21" i="12"/>
  <c r="P21" i="12"/>
  <c r="Q21" i="12"/>
  <c r="R21" i="12"/>
  <c r="S21" i="12"/>
  <c r="T21" i="12"/>
  <c r="U21" i="12"/>
  <c r="V21" i="12"/>
  <c r="W21" i="12"/>
  <c r="M21" i="12"/>
  <c r="L21" i="12"/>
  <c r="D21" i="12"/>
  <c r="E21" i="12"/>
  <c r="F21" i="12"/>
  <c r="G21" i="12"/>
  <c r="H21" i="12"/>
  <c r="I21" i="12"/>
  <c r="J21" i="12"/>
  <c r="K21" i="12"/>
  <c r="C21" i="12"/>
  <c r="C29" i="12"/>
  <c r="C26" i="1"/>
  <c r="C25" i="1"/>
  <c r="C35" i="7"/>
  <c r="D45" i="1"/>
  <c r="C45" i="1"/>
  <c r="D42" i="1"/>
  <c r="C42" i="1" s="1"/>
  <c r="C5" i="15"/>
  <c r="B5" i="15"/>
  <c r="D81" i="7" l="1"/>
  <c r="E73" i="7"/>
  <c r="F73" i="7" s="1"/>
  <c r="G73" i="7" s="1"/>
  <c r="E78" i="7"/>
  <c r="F78" i="7" s="1"/>
  <c r="G78" i="7" s="1"/>
  <c r="E5" i="3"/>
  <c r="F5" i="3"/>
  <c r="G5" i="3"/>
  <c r="H5" i="3"/>
  <c r="I5" i="3"/>
  <c r="J5" i="3"/>
  <c r="K5" i="3"/>
  <c r="L5" i="3"/>
  <c r="M5" i="3"/>
  <c r="N5" i="3"/>
  <c r="O5" i="3"/>
  <c r="P5" i="3"/>
  <c r="Q5" i="3"/>
  <c r="R5" i="3"/>
  <c r="S5" i="3"/>
  <c r="T5" i="3"/>
  <c r="U5" i="3"/>
  <c r="V5" i="3"/>
  <c r="W5" i="3"/>
  <c r="X5" i="3"/>
  <c r="Y5" i="3"/>
  <c r="Z5" i="3"/>
  <c r="AA5" i="3"/>
  <c r="AB5" i="3"/>
  <c r="AC5" i="3"/>
  <c r="AD5" i="3"/>
  <c r="AE5" i="3"/>
  <c r="AF5" i="3"/>
  <c r="AG5" i="3"/>
  <c r="D5" i="3"/>
  <c r="C5" i="3"/>
  <c r="D45" i="12" l="1"/>
  <c r="D46" i="12" s="1"/>
  <c r="E45" i="12"/>
  <c r="E46" i="12" s="1"/>
  <c r="F45" i="12"/>
  <c r="F46" i="12" s="1"/>
  <c r="G45" i="12"/>
  <c r="G46" i="12" s="1"/>
  <c r="F7" i="14" s="1"/>
  <c r="H45" i="12"/>
  <c r="H46" i="12" s="1"/>
  <c r="I45" i="12"/>
  <c r="I46" i="12" s="1"/>
  <c r="J45" i="12"/>
  <c r="J46" i="12" s="1"/>
  <c r="K45" i="12"/>
  <c r="K46" i="12" s="1"/>
  <c r="L45" i="12"/>
  <c r="L46" i="12" s="1"/>
  <c r="M45" i="12"/>
  <c r="M46" i="12" s="1"/>
  <c r="N45" i="12"/>
  <c r="N46" i="12" s="1"/>
  <c r="O45" i="12"/>
  <c r="O46" i="12" s="1"/>
  <c r="N7" i="14" s="1"/>
  <c r="P45" i="12"/>
  <c r="P46" i="12" s="1"/>
  <c r="Q45" i="12"/>
  <c r="Q46" i="12" s="1"/>
  <c r="R45" i="12"/>
  <c r="R46" i="12" s="1"/>
  <c r="S45" i="12"/>
  <c r="S46" i="12" s="1"/>
  <c r="T45" i="12"/>
  <c r="T46" i="12" s="1"/>
  <c r="U45" i="12"/>
  <c r="U46" i="12" s="1"/>
  <c r="V45" i="12"/>
  <c r="V46" i="12" s="1"/>
  <c r="W45" i="12"/>
  <c r="W46" i="12" s="1"/>
  <c r="V7" i="14" s="1"/>
  <c r="X45" i="12"/>
  <c r="X46" i="12" s="1"/>
  <c r="Y45" i="12"/>
  <c r="Y46" i="12" s="1"/>
  <c r="Z45" i="12"/>
  <c r="Z46" i="12" s="1"/>
  <c r="AA45" i="12"/>
  <c r="AA46" i="12" s="1"/>
  <c r="Z7" i="14" s="1"/>
  <c r="AB45" i="12"/>
  <c r="AB46" i="12" s="1"/>
  <c r="AC45" i="12"/>
  <c r="AC46" i="12" s="1"/>
  <c r="AD45" i="12"/>
  <c r="AD46" i="12" s="1"/>
  <c r="AE45" i="12"/>
  <c r="AE46" i="12" s="1"/>
  <c r="AF45" i="12"/>
  <c r="AF46" i="12" s="1"/>
  <c r="AG45" i="12"/>
  <c r="AG46" i="12" s="1"/>
  <c r="C45" i="12"/>
  <c r="C46" i="12" s="1"/>
  <c r="C47" i="12" s="1"/>
  <c r="C48" i="12" s="1"/>
  <c r="C29" i="3"/>
  <c r="C30" i="3" s="1"/>
  <c r="C31" i="3" s="1"/>
  <c r="C32" i="3" s="1"/>
  <c r="D29" i="3"/>
  <c r="D30" i="3" s="1"/>
  <c r="E29" i="3"/>
  <c r="E30" i="3" s="1"/>
  <c r="F29" i="3"/>
  <c r="F30" i="3" s="1"/>
  <c r="G29" i="3"/>
  <c r="G30" i="3" s="1"/>
  <c r="H29" i="3"/>
  <c r="H30" i="3" s="1"/>
  <c r="I29" i="3"/>
  <c r="I30" i="3" s="1"/>
  <c r="J29" i="3"/>
  <c r="J30" i="3" s="1"/>
  <c r="K29" i="3"/>
  <c r="K30" i="3" s="1"/>
  <c r="L29" i="3"/>
  <c r="L30" i="3" s="1"/>
  <c r="M29" i="3"/>
  <c r="M30" i="3" s="1"/>
  <c r="N29" i="3"/>
  <c r="N30" i="3" s="1"/>
  <c r="O29" i="3"/>
  <c r="O30" i="3" s="1"/>
  <c r="P29" i="3"/>
  <c r="P30" i="3" s="1"/>
  <c r="Q29" i="3"/>
  <c r="Q30" i="3" s="1"/>
  <c r="R29" i="3"/>
  <c r="R30" i="3" s="1"/>
  <c r="S29" i="3"/>
  <c r="S30" i="3" s="1"/>
  <c r="T29" i="3"/>
  <c r="T30" i="3" s="1"/>
  <c r="U29" i="3"/>
  <c r="U30" i="3" s="1"/>
  <c r="V29" i="3"/>
  <c r="V30" i="3" s="1"/>
  <c r="W29" i="3"/>
  <c r="W30" i="3" s="1"/>
  <c r="X29" i="3"/>
  <c r="X30" i="3" s="1"/>
  <c r="Y29" i="3"/>
  <c r="Y30" i="3" s="1"/>
  <c r="Z29" i="3"/>
  <c r="Z30" i="3" s="1"/>
  <c r="AA29" i="3"/>
  <c r="AA30" i="3" s="1"/>
  <c r="AB29" i="3"/>
  <c r="AB30" i="3" s="1"/>
  <c r="AC29" i="3"/>
  <c r="AC30" i="3" s="1"/>
  <c r="AD29" i="3"/>
  <c r="AD30" i="3" s="1"/>
  <c r="AE29" i="3"/>
  <c r="AE30" i="3" s="1"/>
  <c r="AF29" i="3"/>
  <c r="AF30" i="3" s="1"/>
  <c r="AG29" i="3"/>
  <c r="AG30" i="3" s="1"/>
  <c r="AB47" i="12" l="1"/>
  <c r="AB48" i="12" s="1"/>
  <c r="AA7" i="14"/>
  <c r="X47" i="12"/>
  <c r="X48" i="12" s="1"/>
  <c r="W7" i="14"/>
  <c r="T47" i="12"/>
  <c r="T48" i="12" s="1"/>
  <c r="S7" i="14"/>
  <c r="P47" i="12"/>
  <c r="P48" i="12" s="1"/>
  <c r="O7" i="14"/>
  <c r="L47" i="12"/>
  <c r="L48" i="12" s="1"/>
  <c r="K7" i="14"/>
  <c r="H47" i="12"/>
  <c r="H48" i="12" s="1"/>
  <c r="G7" i="14"/>
  <c r="AE47" i="12"/>
  <c r="AE48" i="12" s="1"/>
  <c r="AD7" i="14"/>
  <c r="S47" i="12"/>
  <c r="S48" i="12" s="1"/>
  <c r="R7" i="14"/>
  <c r="K47" i="12"/>
  <c r="K48" i="12" s="1"/>
  <c r="J7" i="14"/>
  <c r="J47" i="12"/>
  <c r="J48" i="12" s="1"/>
  <c r="I7" i="14"/>
  <c r="AD47" i="12"/>
  <c r="AD48" i="12" s="1"/>
  <c r="AC7" i="14"/>
  <c r="Z47" i="12"/>
  <c r="Z48" i="12" s="1"/>
  <c r="Y7" i="14"/>
  <c r="V47" i="12"/>
  <c r="V48" i="12" s="1"/>
  <c r="U7" i="14"/>
  <c r="R47" i="12"/>
  <c r="R48" i="12" s="1"/>
  <c r="Q7" i="14"/>
  <c r="N47" i="12"/>
  <c r="N48" i="12" s="1"/>
  <c r="M7" i="14"/>
  <c r="F47" i="12"/>
  <c r="F48" i="12" s="1"/>
  <c r="E7" i="14"/>
  <c r="AG47" i="12"/>
  <c r="AG48" i="12" s="1"/>
  <c r="AF7" i="14"/>
  <c r="AC47" i="12"/>
  <c r="AC48" i="12" s="1"/>
  <c r="AB7" i="14"/>
  <c r="Y47" i="12"/>
  <c r="Y48" i="12" s="1"/>
  <c r="X7" i="14"/>
  <c r="U47" i="12"/>
  <c r="U48" i="12" s="1"/>
  <c r="T7" i="14"/>
  <c r="Q47" i="12"/>
  <c r="Q48" i="12" s="1"/>
  <c r="P7" i="14"/>
  <c r="M47" i="12"/>
  <c r="M48" i="12" s="1"/>
  <c r="L7" i="14"/>
  <c r="I47" i="12"/>
  <c r="I48" i="12" s="1"/>
  <c r="H7" i="14"/>
  <c r="E47" i="12"/>
  <c r="E48" i="12" s="1"/>
  <c r="D7" i="14"/>
  <c r="AF47" i="12"/>
  <c r="AF48" i="12" s="1"/>
  <c r="AE7" i="14"/>
  <c r="D47" i="12"/>
  <c r="D48" i="12" s="1"/>
  <c r="C7" i="14"/>
  <c r="AD31" i="3"/>
  <c r="AD32" i="3" s="1"/>
  <c r="AC4" i="14"/>
  <c r="R31" i="3"/>
  <c r="R32" i="3" s="1"/>
  <c r="Q4" i="14"/>
  <c r="G31" i="3"/>
  <c r="G32" i="3" s="1"/>
  <c r="F4" i="14"/>
  <c r="AG31" i="3"/>
  <c r="AG32" i="3" s="1"/>
  <c r="AF4" i="14"/>
  <c r="AC31" i="3"/>
  <c r="AC32" i="3" s="1"/>
  <c r="AB4" i="14"/>
  <c r="Y31" i="3"/>
  <c r="Y32" i="3" s="1"/>
  <c r="X4" i="14"/>
  <c r="U31" i="3"/>
  <c r="U32" i="3" s="1"/>
  <c r="T4" i="14"/>
  <c r="Q31" i="3"/>
  <c r="Q32" i="3" s="1"/>
  <c r="P4" i="14"/>
  <c r="M31" i="3"/>
  <c r="M32" i="3" s="1"/>
  <c r="L4" i="14"/>
  <c r="F31" i="3"/>
  <c r="F32" i="3" s="1"/>
  <c r="E4" i="14"/>
  <c r="V31" i="3"/>
  <c r="V32" i="3" s="1"/>
  <c r="U4" i="14"/>
  <c r="K31" i="3"/>
  <c r="K32" i="3" s="1"/>
  <c r="J4" i="14"/>
  <c r="AF31" i="3"/>
  <c r="AF32" i="3" s="1"/>
  <c r="AE4" i="14"/>
  <c r="AB31" i="3"/>
  <c r="AB32" i="3" s="1"/>
  <c r="AA4" i="14"/>
  <c r="X31" i="3"/>
  <c r="X32" i="3" s="1"/>
  <c r="W4" i="14"/>
  <c r="T31" i="3"/>
  <c r="T32" i="3" s="1"/>
  <c r="S4" i="14"/>
  <c r="P31" i="3"/>
  <c r="P32" i="3" s="1"/>
  <c r="O4" i="14"/>
  <c r="I31" i="3"/>
  <c r="I32" i="3" s="1"/>
  <c r="H4" i="14"/>
  <c r="E31" i="3"/>
  <c r="E32" i="3" s="1"/>
  <c r="D4" i="14"/>
  <c r="Z31" i="3"/>
  <c r="Z32" i="3" s="1"/>
  <c r="Y4" i="14"/>
  <c r="N31" i="3"/>
  <c r="N32" i="3" s="1"/>
  <c r="M4" i="14"/>
  <c r="J31" i="3"/>
  <c r="J32" i="3" s="1"/>
  <c r="I4" i="14"/>
  <c r="AE31" i="3"/>
  <c r="AE32" i="3" s="1"/>
  <c r="AD4" i="14"/>
  <c r="AA31" i="3"/>
  <c r="AA32" i="3" s="1"/>
  <c r="Z4" i="14"/>
  <c r="W31" i="3"/>
  <c r="W32" i="3" s="1"/>
  <c r="V4" i="14"/>
  <c r="S31" i="3"/>
  <c r="S32" i="3" s="1"/>
  <c r="R4" i="14"/>
  <c r="O31" i="3"/>
  <c r="O32" i="3" s="1"/>
  <c r="N4" i="14"/>
  <c r="H31" i="3"/>
  <c r="H32" i="3" s="1"/>
  <c r="G4" i="14"/>
  <c r="L31" i="3"/>
  <c r="L32" i="3" s="1"/>
  <c r="K4" i="14"/>
  <c r="D31" i="3"/>
  <c r="D32" i="3" s="1"/>
  <c r="C4" i="14"/>
  <c r="AA47" i="12"/>
  <c r="AA48" i="12" s="1"/>
  <c r="W47" i="12"/>
  <c r="W48" i="12" s="1"/>
  <c r="O47" i="12"/>
  <c r="O48" i="12" s="1"/>
  <c r="G47" i="12"/>
  <c r="G48" i="12" s="1"/>
  <c r="M29" i="12" l="1"/>
  <c r="N29" i="12"/>
  <c r="O29" i="12"/>
  <c r="P29" i="12"/>
  <c r="Q29" i="12"/>
  <c r="R29" i="12"/>
  <c r="S29" i="12"/>
  <c r="T29" i="12"/>
  <c r="U29" i="12"/>
  <c r="V29" i="12"/>
  <c r="W29" i="12"/>
  <c r="X29" i="12"/>
  <c r="Y29" i="12"/>
  <c r="Z29" i="12"/>
  <c r="AA29" i="12"/>
  <c r="AB29" i="12"/>
  <c r="AC29" i="12"/>
  <c r="AD29" i="12"/>
  <c r="AE29" i="12"/>
  <c r="AF29" i="12"/>
  <c r="AG29" i="12"/>
  <c r="L29" i="12"/>
  <c r="G37" i="1" l="1"/>
  <c r="F21" i="1"/>
  <c r="D17" i="1"/>
  <c r="F17" i="1" s="1"/>
  <c r="K22" i="12" l="1"/>
  <c r="J22" i="12"/>
  <c r="I22" i="12"/>
  <c r="H22" i="12"/>
  <c r="G22" i="12"/>
  <c r="F22" i="12"/>
  <c r="E22" i="12"/>
  <c r="D22" i="12"/>
  <c r="L22" i="12"/>
  <c r="M22" i="12"/>
  <c r="W22" i="12"/>
  <c r="V22" i="12"/>
  <c r="U22" i="12"/>
  <c r="T22" i="12"/>
  <c r="S22" i="12"/>
  <c r="R22" i="12"/>
  <c r="Q22" i="12"/>
  <c r="P22" i="12"/>
  <c r="O22" i="12"/>
  <c r="N22" i="12"/>
  <c r="AD22" i="12"/>
  <c r="AC22" i="12"/>
  <c r="AB22" i="12"/>
  <c r="AA22" i="12"/>
  <c r="Z22" i="12"/>
  <c r="Y22" i="12"/>
  <c r="X22" i="12"/>
  <c r="AG22" i="12"/>
  <c r="AF22" i="12"/>
  <c r="AE22" i="12"/>
  <c r="E61" i="12"/>
  <c r="F61" i="12"/>
  <c r="G61" i="12"/>
  <c r="H61" i="12"/>
  <c r="I61" i="12"/>
  <c r="J61" i="12"/>
  <c r="K61" i="12"/>
  <c r="L61" i="12"/>
  <c r="M61" i="12"/>
  <c r="N61" i="12"/>
  <c r="O61" i="12"/>
  <c r="P61" i="12"/>
  <c r="Q61" i="12"/>
  <c r="R61" i="12"/>
  <c r="S61" i="12"/>
  <c r="T61" i="12"/>
  <c r="U61" i="12"/>
  <c r="V61" i="12"/>
  <c r="W61" i="12"/>
  <c r="X61" i="12"/>
  <c r="Y61" i="12"/>
  <c r="Z61" i="12"/>
  <c r="AA61" i="12"/>
  <c r="AB61" i="12"/>
  <c r="AC61" i="12"/>
  <c r="AD61" i="12"/>
  <c r="AE61" i="12"/>
  <c r="AF61" i="12"/>
  <c r="AG61" i="12"/>
  <c r="D61" i="12"/>
  <c r="E58"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AE58" i="12"/>
  <c r="AF58" i="12"/>
  <c r="AG58" i="12"/>
  <c r="D58" i="12"/>
  <c r="E48" i="3"/>
  <c r="D14" i="14" s="1"/>
  <c r="F48" i="3"/>
  <c r="E14" i="14" s="1"/>
  <c r="G48" i="3"/>
  <c r="F14" i="14" s="1"/>
  <c r="H48" i="3"/>
  <c r="G14" i="14" s="1"/>
  <c r="I48" i="3"/>
  <c r="H14" i="14" s="1"/>
  <c r="J48" i="3"/>
  <c r="I14" i="14" s="1"/>
  <c r="K48" i="3"/>
  <c r="J14" i="14" s="1"/>
  <c r="L48" i="3"/>
  <c r="K14" i="14" s="1"/>
  <c r="M48" i="3"/>
  <c r="L14" i="14" s="1"/>
  <c r="N48" i="3"/>
  <c r="M14" i="14" s="1"/>
  <c r="O48" i="3"/>
  <c r="N14" i="14" s="1"/>
  <c r="P48" i="3"/>
  <c r="O14" i="14" s="1"/>
  <c r="Q48" i="3"/>
  <c r="P14" i="14" s="1"/>
  <c r="R48" i="3"/>
  <c r="Q14" i="14" s="1"/>
  <c r="S48" i="3"/>
  <c r="T48" i="3"/>
  <c r="U48" i="3"/>
  <c r="V48" i="3"/>
  <c r="W48" i="3"/>
  <c r="X48" i="3"/>
  <c r="Y48" i="3"/>
  <c r="Z48" i="3"/>
  <c r="AA48" i="3"/>
  <c r="AB48" i="3"/>
  <c r="AC48" i="3"/>
  <c r="AD48" i="3"/>
  <c r="AE48" i="3"/>
  <c r="AF48" i="3"/>
  <c r="AG48" i="3"/>
  <c r="D48" i="3"/>
  <c r="C14" i="14" s="1"/>
  <c r="E45" i="3"/>
  <c r="D11" i="14" s="1"/>
  <c r="F45" i="3"/>
  <c r="E11" i="14" s="1"/>
  <c r="G45" i="3"/>
  <c r="F11" i="14" s="1"/>
  <c r="H45" i="3"/>
  <c r="G11" i="14" s="1"/>
  <c r="I45" i="3"/>
  <c r="H11" i="14" s="1"/>
  <c r="J45" i="3"/>
  <c r="I11" i="14" s="1"/>
  <c r="K45" i="3"/>
  <c r="J11" i="14" s="1"/>
  <c r="L45" i="3"/>
  <c r="K11" i="14" s="1"/>
  <c r="M45" i="3"/>
  <c r="L11" i="14" s="1"/>
  <c r="N45" i="3"/>
  <c r="M11" i="14" s="1"/>
  <c r="O45" i="3"/>
  <c r="N11" i="14" s="1"/>
  <c r="P45" i="3"/>
  <c r="O11" i="14" s="1"/>
  <c r="Q45" i="3"/>
  <c r="P11" i="14" s="1"/>
  <c r="R45" i="3"/>
  <c r="Q11" i="14" s="1"/>
  <c r="S45" i="3"/>
  <c r="T45" i="3"/>
  <c r="U45" i="3"/>
  <c r="V45" i="3"/>
  <c r="W45" i="3"/>
  <c r="X45" i="3"/>
  <c r="Y45" i="3"/>
  <c r="Z45" i="3"/>
  <c r="AA45" i="3"/>
  <c r="AB45" i="3"/>
  <c r="AC45" i="3"/>
  <c r="AD45" i="3"/>
  <c r="AE45" i="3"/>
  <c r="AF45" i="3"/>
  <c r="AG45" i="3"/>
  <c r="D45" i="3"/>
  <c r="C11" i="14" s="1"/>
  <c r="AF8" i="8" l="1"/>
  <c r="AF11" i="14"/>
  <c r="Z11" i="8"/>
  <c r="Z14" i="14"/>
  <c r="R11" i="8"/>
  <c r="R14" i="14"/>
  <c r="AC8" i="8"/>
  <c r="AC11" i="14"/>
  <c r="Y8" i="8"/>
  <c r="Y11" i="14"/>
  <c r="U8" i="8"/>
  <c r="U11" i="14"/>
  <c r="AE11" i="8"/>
  <c r="AE14" i="14"/>
  <c r="AA11" i="8"/>
  <c r="AA14" i="14"/>
  <c r="W11" i="8"/>
  <c r="W14" i="14"/>
  <c r="S11" i="8"/>
  <c r="S14" i="14"/>
  <c r="AB8" i="8"/>
  <c r="AB11" i="14"/>
  <c r="T8" i="8"/>
  <c r="T11" i="14"/>
  <c r="AD11" i="8"/>
  <c r="AD14" i="14"/>
  <c r="AE8" i="8"/>
  <c r="AE11" i="14"/>
  <c r="AA8" i="8"/>
  <c r="AA11" i="14"/>
  <c r="W8" i="8"/>
  <c r="W11" i="14"/>
  <c r="S8" i="8"/>
  <c r="S11" i="14"/>
  <c r="AC11" i="8"/>
  <c r="AC14" i="14"/>
  <c r="Y11" i="8"/>
  <c r="Y14" i="14"/>
  <c r="U11" i="8"/>
  <c r="U14" i="14"/>
  <c r="X8" i="8"/>
  <c r="X11" i="14"/>
  <c r="V11" i="8"/>
  <c r="V14" i="14"/>
  <c r="AD8" i="8"/>
  <c r="AD11" i="14"/>
  <c r="Z8" i="8"/>
  <c r="Z11" i="14"/>
  <c r="V8" i="8"/>
  <c r="V11" i="14"/>
  <c r="R8" i="8"/>
  <c r="R11" i="14"/>
  <c r="AF11" i="8"/>
  <c r="AF14" i="14"/>
  <c r="AB11" i="8"/>
  <c r="AB14" i="14"/>
  <c r="X11" i="8"/>
  <c r="X14" i="14"/>
  <c r="T11" i="8"/>
  <c r="T14" i="14"/>
  <c r="C33" i="12" l="1"/>
  <c r="AG31" i="12"/>
  <c r="AF31" i="12"/>
  <c r="AE31" i="12"/>
  <c r="AD31" i="12"/>
  <c r="AC31" i="12"/>
  <c r="AB31" i="12"/>
  <c r="AA31" i="12"/>
  <c r="Z31" i="12"/>
  <c r="Y31" i="12"/>
  <c r="X31" i="12"/>
  <c r="W31" i="12"/>
  <c r="V31" i="12"/>
  <c r="U31" i="12"/>
  <c r="T31" i="12"/>
  <c r="S31" i="12"/>
  <c r="R31" i="12"/>
  <c r="Q31" i="12"/>
  <c r="P31" i="12"/>
  <c r="O31" i="12"/>
  <c r="N31" i="12"/>
  <c r="M31" i="12"/>
  <c r="L31" i="12"/>
  <c r="K31" i="12"/>
  <c r="J31" i="12"/>
  <c r="I31" i="12"/>
  <c r="H31" i="12"/>
  <c r="G31" i="12"/>
  <c r="F31" i="12"/>
  <c r="E31" i="12"/>
  <c r="D31" i="12"/>
  <c r="K29" i="12"/>
  <c r="J29" i="12"/>
  <c r="I29" i="12"/>
  <c r="H29" i="12"/>
  <c r="G29" i="12"/>
  <c r="F29" i="12"/>
  <c r="E29" i="12"/>
  <c r="D29"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AG15" i="12"/>
  <c r="AF15"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D11" i="12"/>
  <c r="AG5" i="12"/>
  <c r="AG42" i="12" s="1"/>
  <c r="AF5" i="12"/>
  <c r="AF42" i="12" s="1"/>
  <c r="AE5" i="12"/>
  <c r="AE42" i="12" s="1"/>
  <c r="AD5" i="12"/>
  <c r="AD42" i="12" s="1"/>
  <c r="AC5" i="12"/>
  <c r="AC42" i="12" s="1"/>
  <c r="AB5" i="12"/>
  <c r="AB42" i="12" s="1"/>
  <c r="AA5" i="12"/>
  <c r="AA42" i="12" s="1"/>
  <c r="Z5" i="12"/>
  <c r="Z42" i="12" s="1"/>
  <c r="Y5" i="12"/>
  <c r="Y42" i="12" s="1"/>
  <c r="X5" i="12"/>
  <c r="X42" i="12" s="1"/>
  <c r="W5" i="12"/>
  <c r="W42" i="12" s="1"/>
  <c r="V5" i="12"/>
  <c r="V42" i="12" s="1"/>
  <c r="U5" i="12"/>
  <c r="U42" i="12" s="1"/>
  <c r="T5" i="12"/>
  <c r="T42" i="12" s="1"/>
  <c r="S5" i="12"/>
  <c r="S42" i="12" s="1"/>
  <c r="R5" i="12"/>
  <c r="R42" i="12" s="1"/>
  <c r="Q5" i="12"/>
  <c r="Q42" i="12" s="1"/>
  <c r="P5" i="12"/>
  <c r="P42" i="12" s="1"/>
  <c r="O5" i="12"/>
  <c r="O42" i="12" s="1"/>
  <c r="N5" i="12"/>
  <c r="N42" i="12" s="1"/>
  <c r="M5" i="12"/>
  <c r="M42" i="12" s="1"/>
  <c r="L5" i="12"/>
  <c r="L42" i="12" s="1"/>
  <c r="K5" i="12"/>
  <c r="K42" i="12" s="1"/>
  <c r="J5" i="12"/>
  <c r="J42" i="12" s="1"/>
  <c r="I5" i="12"/>
  <c r="I42" i="12" s="1"/>
  <c r="H5" i="12"/>
  <c r="H42" i="12" s="1"/>
  <c r="G5" i="12"/>
  <c r="G42" i="12" s="1"/>
  <c r="F5" i="12"/>
  <c r="F42" i="12" s="1"/>
  <c r="E5" i="12"/>
  <c r="E42" i="12" s="1"/>
  <c r="D5" i="12"/>
  <c r="D42" i="12" s="1"/>
  <c r="C5" i="12"/>
  <c r="C36" i="7"/>
  <c r="C46" i="7"/>
  <c r="D30" i="12" l="1"/>
  <c r="I53" i="12"/>
  <c r="I50" i="12"/>
  <c r="I49" i="12"/>
  <c r="U53" i="12"/>
  <c r="U49" i="12"/>
  <c r="U50" i="12"/>
  <c r="AC53" i="12"/>
  <c r="AC49" i="12"/>
  <c r="AC50" i="12"/>
  <c r="AG53" i="12"/>
  <c r="AG50" i="12"/>
  <c r="AG49" i="12"/>
  <c r="F53" i="12"/>
  <c r="F50" i="12"/>
  <c r="F49" i="12"/>
  <c r="J53" i="12"/>
  <c r="J49" i="12"/>
  <c r="J50" i="12"/>
  <c r="N53" i="12"/>
  <c r="N50" i="12"/>
  <c r="N49" i="12"/>
  <c r="R53" i="12"/>
  <c r="R50" i="12"/>
  <c r="R49" i="12"/>
  <c r="V53" i="12"/>
  <c r="V49" i="12"/>
  <c r="V50" i="12"/>
  <c r="Z53" i="12"/>
  <c r="Z49" i="12"/>
  <c r="Z50" i="12"/>
  <c r="AD53" i="12"/>
  <c r="AD49" i="12"/>
  <c r="AD50" i="12"/>
  <c r="Q53" i="12"/>
  <c r="Q50" i="12"/>
  <c r="Q49" i="12"/>
  <c r="G53" i="12"/>
  <c r="G50" i="12"/>
  <c r="G49" i="12"/>
  <c r="O53" i="12"/>
  <c r="O49" i="12"/>
  <c r="O50" i="12"/>
  <c r="AA53" i="12"/>
  <c r="AA50" i="12"/>
  <c r="AA49" i="12"/>
  <c r="AE53" i="12"/>
  <c r="AE49" i="12"/>
  <c r="AE50" i="12"/>
  <c r="E53" i="12"/>
  <c r="E49" i="12"/>
  <c r="E50" i="12"/>
  <c r="M53" i="12"/>
  <c r="M49" i="12"/>
  <c r="M50" i="12"/>
  <c r="Y53" i="12"/>
  <c r="Y49" i="12"/>
  <c r="Y50" i="12"/>
  <c r="K53" i="12"/>
  <c r="K49" i="12"/>
  <c r="K50" i="12"/>
  <c r="S53" i="12"/>
  <c r="S50" i="12"/>
  <c r="S49" i="12"/>
  <c r="W53" i="12"/>
  <c r="W49" i="12"/>
  <c r="W50" i="12"/>
  <c r="D50" i="12"/>
  <c r="D49" i="12"/>
  <c r="H53" i="12"/>
  <c r="H50" i="12"/>
  <c r="H49" i="12"/>
  <c r="L53" i="12"/>
  <c r="L50" i="12"/>
  <c r="L49" i="12"/>
  <c r="P53" i="12"/>
  <c r="P50" i="12"/>
  <c r="P49" i="12"/>
  <c r="T53" i="12"/>
  <c r="T49" i="12"/>
  <c r="T50" i="12"/>
  <c r="X53" i="12"/>
  <c r="X49" i="12"/>
  <c r="X50" i="12"/>
  <c r="AB53" i="12"/>
  <c r="AB50" i="12"/>
  <c r="AB49" i="12"/>
  <c r="AF53" i="12"/>
  <c r="AF50" i="12"/>
  <c r="AF49" i="12"/>
  <c r="E11" i="12"/>
  <c r="D16" i="12"/>
  <c r="E12" i="12" l="1"/>
  <c r="AC51" i="12"/>
  <c r="AB8" i="14" s="1"/>
  <c r="Y51" i="12"/>
  <c r="X8" i="14" s="1"/>
  <c r="AD51" i="12"/>
  <c r="AC8" i="14" s="1"/>
  <c r="AB51" i="12"/>
  <c r="AA8" i="14" s="1"/>
  <c r="L51" i="12"/>
  <c r="K8" i="14" s="1"/>
  <c r="H51" i="12"/>
  <c r="G8" i="14" s="1"/>
  <c r="S51" i="12"/>
  <c r="R8" i="14" s="1"/>
  <c r="G51" i="12"/>
  <c r="F8" i="14" s="1"/>
  <c r="F51" i="12"/>
  <c r="E8" i="14" s="1"/>
  <c r="I51" i="12"/>
  <c r="H8" i="14" s="1"/>
  <c r="T51" i="12"/>
  <c r="S8" i="14" s="1"/>
  <c r="K51" i="12"/>
  <c r="J8" i="14" s="1"/>
  <c r="AE51" i="12"/>
  <c r="AD8" i="14" s="1"/>
  <c r="D51" i="12"/>
  <c r="C8" i="14" s="1"/>
  <c r="Q51" i="12"/>
  <c r="P8" i="14" s="1"/>
  <c r="R51" i="12"/>
  <c r="Q8" i="14" s="1"/>
  <c r="AG51" i="12"/>
  <c r="AF8" i="14" s="1"/>
  <c r="E51" i="12"/>
  <c r="D8" i="14" s="1"/>
  <c r="V51" i="12"/>
  <c r="U8" i="14" s="1"/>
  <c r="X51" i="12"/>
  <c r="W8" i="14" s="1"/>
  <c r="AF51" i="12"/>
  <c r="AE8" i="14" s="1"/>
  <c r="P51" i="12"/>
  <c r="O8" i="14" s="1"/>
  <c r="W51" i="12"/>
  <c r="V8" i="14" s="1"/>
  <c r="M51" i="12"/>
  <c r="L8" i="14" s="1"/>
  <c r="AA51" i="12"/>
  <c r="Z8" i="14" s="1"/>
  <c r="O51" i="12"/>
  <c r="N8" i="14" s="1"/>
  <c r="Z51" i="12"/>
  <c r="Y8" i="14" s="1"/>
  <c r="N51" i="12"/>
  <c r="M8" i="14" s="1"/>
  <c r="J51" i="12"/>
  <c r="I8" i="14" s="1"/>
  <c r="U51" i="12"/>
  <c r="T8" i="14" s="1"/>
  <c r="F11" i="12"/>
  <c r="E16" i="12"/>
  <c r="F12" i="12" l="1"/>
  <c r="F16" i="12"/>
  <c r="G11" i="12"/>
  <c r="G12" i="12" l="1"/>
  <c r="G16" i="12"/>
  <c r="H11" i="12"/>
  <c r="H12" i="12" l="1"/>
  <c r="I11" i="12"/>
  <c r="H16" i="12"/>
  <c r="I16" i="12" l="1"/>
  <c r="J11" i="12"/>
  <c r="I12" i="12"/>
  <c r="K11" i="12" l="1"/>
  <c r="J16" i="12"/>
  <c r="J12" i="12"/>
  <c r="K12" i="12" l="1"/>
  <c r="K16" i="12"/>
  <c r="L11" i="12"/>
  <c r="L12" i="12" l="1"/>
  <c r="M11" i="12"/>
  <c r="L16" i="12"/>
  <c r="M16" i="12" l="1"/>
  <c r="N11" i="12"/>
  <c r="M12" i="12"/>
  <c r="N12" i="12" l="1"/>
  <c r="N16" i="12"/>
  <c r="O11" i="12"/>
  <c r="O16" i="12" l="1"/>
  <c r="P11" i="12"/>
  <c r="O12" i="12"/>
  <c r="Q11" i="12" l="1"/>
  <c r="P16" i="12"/>
  <c r="P12" i="12"/>
  <c r="Q12" i="12" l="1"/>
  <c r="Q16" i="12"/>
  <c r="R11" i="12"/>
  <c r="S11" i="12" l="1"/>
  <c r="R16" i="12"/>
  <c r="R12" i="12"/>
  <c r="S12" i="12" l="1"/>
  <c r="S16" i="12"/>
  <c r="T11" i="12"/>
  <c r="T12" i="12" l="1"/>
  <c r="U11" i="12"/>
  <c r="T16" i="12"/>
  <c r="V11" i="12" l="1"/>
  <c r="U16" i="12"/>
  <c r="U12" i="12"/>
  <c r="V12" i="12" l="1"/>
  <c r="V16" i="12"/>
  <c r="W11" i="12"/>
  <c r="W16" i="12" l="1"/>
  <c r="X11" i="12"/>
  <c r="W12" i="12"/>
  <c r="X12" i="12" l="1"/>
  <c r="Y11" i="12"/>
  <c r="X16" i="12"/>
  <c r="Y16" i="12" l="1"/>
  <c r="Z11" i="12"/>
  <c r="Y12" i="12"/>
  <c r="Z12" i="12" l="1"/>
  <c r="Z16" i="12"/>
  <c r="AA11" i="12"/>
  <c r="AA12" i="12" l="1"/>
  <c r="AA16" i="12"/>
  <c r="AB11" i="12"/>
  <c r="AC11" i="12" l="1"/>
  <c r="AB16" i="12"/>
  <c r="AB12" i="12"/>
  <c r="AC12" i="12" l="1"/>
  <c r="AD11" i="12"/>
  <c r="AC16" i="12"/>
  <c r="AD16" i="12" l="1"/>
  <c r="AE11" i="12"/>
  <c r="AD12" i="12"/>
  <c r="AE16" i="12" l="1"/>
  <c r="AF11" i="12"/>
  <c r="AE12" i="12"/>
  <c r="AF12" i="12" l="1"/>
  <c r="AG11" i="12"/>
  <c r="AF16" i="12"/>
  <c r="AG16" i="12" l="1"/>
  <c r="AG12" i="12"/>
  <c r="C41" i="7" l="1"/>
  <c r="C42" i="7" s="1"/>
  <c r="C38" i="7"/>
  <c r="C39" i="7" s="1"/>
  <c r="G26" i="7"/>
  <c r="C49" i="7" s="1"/>
  <c r="C50" i="7" s="1"/>
  <c r="C67" i="7"/>
  <c r="C68" i="7" s="1"/>
  <c r="E68" i="7" s="1"/>
  <c r="F68" i="7" s="1"/>
  <c r="G68" i="7" s="1"/>
  <c r="G85" i="7" l="1"/>
  <c r="F85" i="7"/>
  <c r="C70" i="7"/>
  <c r="E70" i="7" s="1"/>
  <c r="C69" i="7"/>
  <c r="E69" i="7" s="1"/>
  <c r="C75" i="7"/>
  <c r="C52" i="7"/>
  <c r="C53" i="7" s="1"/>
  <c r="C74" i="7" s="1"/>
  <c r="F8" i="1"/>
  <c r="D4" i="3"/>
  <c r="E4" i="3"/>
  <c r="F4" i="3"/>
  <c r="G4" i="3"/>
  <c r="H4" i="3"/>
  <c r="I4" i="3"/>
  <c r="J4" i="3"/>
  <c r="K4" i="3"/>
  <c r="L4" i="3"/>
  <c r="M4" i="3"/>
  <c r="N4" i="3"/>
  <c r="O4" i="3"/>
  <c r="P4" i="3"/>
  <c r="Q4" i="3"/>
  <c r="R4" i="3"/>
  <c r="S4" i="3"/>
  <c r="T4" i="3"/>
  <c r="U4" i="3"/>
  <c r="V4" i="3"/>
  <c r="W4" i="3"/>
  <c r="X4" i="3"/>
  <c r="Y4" i="3"/>
  <c r="Z4" i="3"/>
  <c r="AA4" i="3"/>
  <c r="AB4" i="3"/>
  <c r="AC4" i="3"/>
  <c r="AD4" i="3"/>
  <c r="AE4" i="3"/>
  <c r="AF4" i="3"/>
  <c r="AG4" i="3"/>
  <c r="C4" i="3"/>
  <c r="C18" i="3"/>
  <c r="C16" i="3"/>
  <c r="E74" i="7" l="1"/>
  <c r="E79" i="7"/>
  <c r="C76" i="7"/>
  <c r="D76" i="7" s="1"/>
  <c r="E75" i="7"/>
  <c r="E80" i="7"/>
  <c r="L27" i="12"/>
  <c r="AG27" i="12"/>
  <c r="AF27" i="12"/>
  <c r="AE27" i="12"/>
  <c r="AD27" i="12"/>
  <c r="AC27" i="12"/>
  <c r="AB27" i="12"/>
  <c r="AA27" i="12"/>
  <c r="Z27" i="12"/>
  <c r="Y27" i="12"/>
  <c r="X27" i="12"/>
  <c r="W27" i="12"/>
  <c r="V27" i="12"/>
  <c r="U27" i="12"/>
  <c r="T27" i="12"/>
  <c r="S27" i="12"/>
  <c r="R27" i="12"/>
  <c r="Q27" i="12"/>
  <c r="P27" i="12"/>
  <c r="O27" i="12"/>
  <c r="N27" i="12"/>
  <c r="M27" i="12"/>
  <c r="E27" i="12"/>
  <c r="F27" i="12"/>
  <c r="G27" i="12"/>
  <c r="H27" i="12"/>
  <c r="I27" i="12"/>
  <c r="J27" i="12"/>
  <c r="K27" i="12"/>
  <c r="D27" i="12"/>
  <c r="D35" i="12"/>
  <c r="I35" i="12"/>
  <c r="S14" i="3"/>
  <c r="X34" i="3"/>
  <c r="X33" i="3"/>
  <c r="P34" i="3"/>
  <c r="P33" i="3"/>
  <c r="D33" i="3"/>
  <c r="D34" i="3"/>
  <c r="AE34" i="3"/>
  <c r="AE33" i="3"/>
  <c r="AA34" i="3"/>
  <c r="AA33" i="3"/>
  <c r="W34" i="3"/>
  <c r="W33" i="3"/>
  <c r="S34" i="3"/>
  <c r="S33" i="3"/>
  <c r="O34" i="3"/>
  <c r="O33" i="3"/>
  <c r="K33" i="3"/>
  <c r="K34" i="3"/>
  <c r="G33" i="3"/>
  <c r="G34" i="3"/>
  <c r="AF34" i="3"/>
  <c r="AF33" i="3"/>
  <c r="T34" i="3"/>
  <c r="T33" i="3"/>
  <c r="H33" i="3"/>
  <c r="H34" i="3"/>
  <c r="AD33" i="3"/>
  <c r="AD34" i="3"/>
  <c r="Z34" i="3"/>
  <c r="Z33" i="3"/>
  <c r="V34" i="3"/>
  <c r="V33" i="3"/>
  <c r="R33" i="3"/>
  <c r="R34" i="3"/>
  <c r="N33" i="3"/>
  <c r="N34" i="3"/>
  <c r="J33" i="3"/>
  <c r="J34" i="3"/>
  <c r="F34" i="3"/>
  <c r="F33" i="3"/>
  <c r="AB34" i="3"/>
  <c r="AB33" i="3"/>
  <c r="L33" i="3"/>
  <c r="L34" i="3"/>
  <c r="AG34" i="3"/>
  <c r="AG33" i="3"/>
  <c r="AC34" i="3"/>
  <c r="AC33" i="3"/>
  <c r="Y33" i="3"/>
  <c r="Y34" i="3"/>
  <c r="U33" i="3"/>
  <c r="U34" i="3"/>
  <c r="Q33" i="3"/>
  <c r="Q34" i="3"/>
  <c r="M33" i="3"/>
  <c r="M34" i="3"/>
  <c r="I34" i="3"/>
  <c r="I33" i="3"/>
  <c r="E33" i="3"/>
  <c r="E34" i="3"/>
  <c r="Z14" i="3"/>
  <c r="P35" i="12"/>
  <c r="F35" i="12"/>
  <c r="G35" i="12"/>
  <c r="W35" i="12"/>
  <c r="M35" i="12"/>
  <c r="R35" i="12"/>
  <c r="T35" i="12"/>
  <c r="S35" i="12"/>
  <c r="J35" i="12"/>
  <c r="AF35" i="12"/>
  <c r="Q35" i="12"/>
  <c r="N35" i="12"/>
  <c r="K35" i="12"/>
  <c r="AA35" i="12"/>
  <c r="Y35" i="12"/>
  <c r="Z35" i="12"/>
  <c r="X35" i="12"/>
  <c r="U35" i="12"/>
  <c r="V35" i="12"/>
  <c r="O35" i="12"/>
  <c r="AE35" i="12"/>
  <c r="AG35" i="12"/>
  <c r="H35" i="12"/>
  <c r="AB35" i="12"/>
  <c r="AC35" i="12"/>
  <c r="AD35" i="12"/>
  <c r="E35" i="12"/>
  <c r="L35" i="12"/>
  <c r="C71" i="7"/>
  <c r="D41" i="12" l="1"/>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D25" i="3"/>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G26" i="3"/>
  <c r="AF26" i="3"/>
  <c r="AE26" i="3"/>
  <c r="AD26" i="3"/>
  <c r="AC26" i="3"/>
  <c r="AB26" i="3"/>
  <c r="AA26" i="3"/>
  <c r="Z26" i="3"/>
  <c r="Y26" i="3"/>
  <c r="X26" i="3"/>
  <c r="W26" i="3"/>
  <c r="V26" i="3"/>
  <c r="U26" i="3"/>
  <c r="T26" i="3"/>
  <c r="S26" i="3"/>
  <c r="R26" i="3"/>
  <c r="Q26" i="3"/>
  <c r="P26" i="3"/>
  <c r="O26" i="3"/>
  <c r="N26" i="3"/>
  <c r="M26" i="3"/>
  <c r="L26" i="3"/>
  <c r="K26" i="3"/>
  <c r="J26" i="3"/>
  <c r="I26" i="3"/>
  <c r="H26" i="3"/>
  <c r="G26" i="3"/>
  <c r="F26" i="3"/>
  <c r="E26" i="3"/>
  <c r="D26" i="3"/>
  <c r="AC35" i="3"/>
  <c r="AB5" i="14" s="1"/>
  <c r="AB9" i="14" s="1"/>
  <c r="F35" i="3"/>
  <c r="E5" i="14" s="1"/>
  <c r="E9" i="14" s="1"/>
  <c r="V35" i="3"/>
  <c r="U5" i="14" s="1"/>
  <c r="U9" i="14" s="1"/>
  <c r="T35" i="3"/>
  <c r="S5" i="14" s="1"/>
  <c r="S9" i="14" s="1"/>
  <c r="AE35" i="3"/>
  <c r="AD5" i="14" s="1"/>
  <c r="AD9" i="14" s="1"/>
  <c r="AG35" i="3"/>
  <c r="AF5" i="14" s="1"/>
  <c r="AF9" i="14" s="1"/>
  <c r="Z35" i="3"/>
  <c r="Y5" i="14" s="1"/>
  <c r="Y9" i="14" s="1"/>
  <c r="AF35" i="3"/>
  <c r="AE5" i="14" s="1"/>
  <c r="AE9" i="14" s="1"/>
  <c r="S35" i="3"/>
  <c r="R5" i="14" s="1"/>
  <c r="R9" i="14" s="1"/>
  <c r="I35" i="3"/>
  <c r="H5" i="14" s="1"/>
  <c r="H9" i="14" s="1"/>
  <c r="AB35" i="3"/>
  <c r="AA5" i="14" s="1"/>
  <c r="AA9" i="14" s="1"/>
  <c r="AA35" i="3"/>
  <c r="Z5" i="14" s="1"/>
  <c r="Z9" i="14" s="1"/>
  <c r="X35" i="3"/>
  <c r="W5" i="14" s="1"/>
  <c r="W9" i="14" s="1"/>
  <c r="O35" i="3"/>
  <c r="N5" i="14" s="1"/>
  <c r="N9" i="14" s="1"/>
  <c r="W35" i="3"/>
  <c r="V5" i="14" s="1"/>
  <c r="V9" i="14" s="1"/>
  <c r="P35" i="3"/>
  <c r="O5" i="14" s="1"/>
  <c r="O9" i="14" s="1"/>
  <c r="E35" i="3"/>
  <c r="D5" i="14" s="1"/>
  <c r="D9" i="14" s="1"/>
  <c r="M35" i="3"/>
  <c r="L5" i="14" s="1"/>
  <c r="L9" i="14" s="1"/>
  <c r="U35" i="3"/>
  <c r="T5" i="14" s="1"/>
  <c r="T9" i="14" s="1"/>
  <c r="L35" i="3"/>
  <c r="K5" i="14" s="1"/>
  <c r="K9" i="14" s="1"/>
  <c r="N35" i="3"/>
  <c r="M5" i="14" s="1"/>
  <c r="M9" i="14" s="1"/>
  <c r="AD35" i="3"/>
  <c r="AC5" i="14" s="1"/>
  <c r="AC9" i="14" s="1"/>
  <c r="G35" i="3"/>
  <c r="F5" i="14" s="1"/>
  <c r="F9" i="14" s="1"/>
  <c r="Q35" i="3"/>
  <c r="P5" i="14" s="1"/>
  <c r="P9" i="14" s="1"/>
  <c r="Y35" i="3"/>
  <c r="X5" i="14" s="1"/>
  <c r="X9" i="14" s="1"/>
  <c r="J35" i="3"/>
  <c r="I5" i="14" s="1"/>
  <c r="I9" i="14" s="1"/>
  <c r="R35" i="3"/>
  <c r="Q5" i="14" s="1"/>
  <c r="Q9" i="14" s="1"/>
  <c r="H35" i="3"/>
  <c r="G5" i="14" s="1"/>
  <c r="G9" i="14" s="1"/>
  <c r="K35" i="3"/>
  <c r="J5" i="14" s="1"/>
  <c r="J9" i="14" s="1"/>
  <c r="D35" i="3"/>
  <c r="C5" i="14" s="1"/>
  <c r="C9" i="14" s="1"/>
  <c r="D40" i="12"/>
  <c r="D43" i="12" s="1"/>
  <c r="E40" i="12"/>
  <c r="E43" i="12" s="1"/>
  <c r="F40" i="12"/>
  <c r="F43" i="12" s="1"/>
  <c r="G40" i="12"/>
  <c r="G43" i="12" s="1"/>
  <c r="H40" i="12"/>
  <c r="H43" i="12" s="1"/>
  <c r="I40" i="12"/>
  <c r="I43" i="12" s="1"/>
  <c r="J40" i="12"/>
  <c r="J43" i="12" s="1"/>
  <c r="K40" i="12"/>
  <c r="K43" i="12" s="1"/>
  <c r="L40" i="12"/>
  <c r="L43" i="12" s="1"/>
  <c r="M40" i="12"/>
  <c r="M43" i="12" s="1"/>
  <c r="N40" i="12"/>
  <c r="N43" i="12" s="1"/>
  <c r="O40" i="12"/>
  <c r="O43" i="12" s="1"/>
  <c r="P40" i="12"/>
  <c r="P43" i="12" s="1"/>
  <c r="Q40" i="12"/>
  <c r="Q43" i="12" s="1"/>
  <c r="R40" i="12"/>
  <c r="R43" i="12" s="1"/>
  <c r="S40" i="12"/>
  <c r="S43" i="12" s="1"/>
  <c r="T40" i="12"/>
  <c r="T43" i="12" s="1"/>
  <c r="U40" i="12"/>
  <c r="U43" i="12" s="1"/>
  <c r="V40" i="12"/>
  <c r="V43" i="12" s="1"/>
  <c r="W40" i="12"/>
  <c r="W43" i="12" s="1"/>
  <c r="X40" i="12"/>
  <c r="X43" i="12" s="1"/>
  <c r="Y40" i="12"/>
  <c r="Y43" i="12" s="1"/>
  <c r="Z40" i="12"/>
  <c r="Z43" i="12" s="1"/>
  <c r="AA40" i="12"/>
  <c r="AA43" i="12" s="1"/>
  <c r="AB40" i="12"/>
  <c r="AB43" i="12" s="1"/>
  <c r="AC40" i="12"/>
  <c r="AC43" i="12" s="1"/>
  <c r="AD40" i="12"/>
  <c r="AD43" i="12" s="1"/>
  <c r="AE40" i="12"/>
  <c r="AE43" i="12" s="1"/>
  <c r="AF40" i="12"/>
  <c r="AF43" i="12" s="1"/>
  <c r="AG40" i="12"/>
  <c r="AG43" i="12" s="1"/>
  <c r="D71" i="7"/>
  <c r="AA5" i="7" l="1"/>
  <c r="O5" i="7"/>
  <c r="K5" i="7"/>
  <c r="AC5" i="7"/>
  <c r="Y5" i="7"/>
  <c r="I5" i="7"/>
  <c r="E5" i="7"/>
  <c r="R5" i="7"/>
  <c r="N5" i="7"/>
  <c r="AF5" i="7"/>
  <c r="D5" i="7"/>
  <c r="U5" i="7"/>
  <c r="Q5" i="7"/>
  <c r="M5" i="7"/>
  <c r="AE5" i="7"/>
  <c r="W5" i="7"/>
  <c r="S5" i="7"/>
  <c r="G5" i="7"/>
  <c r="C5" i="7"/>
  <c r="AB5" i="7"/>
  <c r="X5" i="7"/>
  <c r="T5" i="7"/>
  <c r="P5" i="7"/>
  <c r="L5" i="7"/>
  <c r="H5" i="7"/>
  <c r="AD5" i="7"/>
  <c r="Z5" i="7"/>
  <c r="V5" i="7"/>
  <c r="J5" i="7"/>
  <c r="F5" i="7"/>
  <c r="D27" i="3"/>
  <c r="C4" i="7" s="1"/>
  <c r="C19" i="7" l="1"/>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D16" i="3"/>
  <c r="D17" i="3" s="1"/>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C8" i="3"/>
  <c r="C20" i="3"/>
  <c r="I10" i="3"/>
  <c r="J10" i="3"/>
  <c r="K10" i="3"/>
  <c r="L10" i="3"/>
  <c r="M10" i="3"/>
  <c r="N10" i="3"/>
  <c r="O10" i="3"/>
  <c r="P10" i="3"/>
  <c r="Q10" i="3"/>
  <c r="R10" i="3"/>
  <c r="S10" i="3"/>
  <c r="T10" i="3"/>
  <c r="U10" i="3"/>
  <c r="V10" i="3"/>
  <c r="W10" i="3"/>
  <c r="X10" i="3"/>
  <c r="Y10" i="3"/>
  <c r="Z10" i="3"/>
  <c r="AA10" i="3"/>
  <c r="AB10" i="3"/>
  <c r="AC10" i="3"/>
  <c r="AD10" i="3"/>
  <c r="AE10" i="3"/>
  <c r="AF10" i="3"/>
  <c r="AG10" i="3"/>
  <c r="E10" i="3"/>
  <c r="F10" i="3"/>
  <c r="G10" i="3"/>
  <c r="H10" i="3"/>
  <c r="C10" i="3"/>
  <c r="D10" i="3"/>
  <c r="D25" i="12" l="1"/>
  <c r="D32" i="12"/>
  <c r="D33" i="12" s="1"/>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D18" i="12"/>
  <c r="D19" i="12" s="1"/>
  <c r="D37" i="12" s="1"/>
  <c r="D55" i="12" s="1"/>
  <c r="E18" i="12"/>
  <c r="E19" i="12" s="1"/>
  <c r="F18" i="12"/>
  <c r="F19" i="12" s="1"/>
  <c r="G18" i="12"/>
  <c r="G19" i="12" s="1"/>
  <c r="H18" i="12"/>
  <c r="H19" i="12" s="1"/>
  <c r="I18" i="12"/>
  <c r="I19" i="12" s="1"/>
  <c r="J18" i="12"/>
  <c r="J19" i="12" s="1"/>
  <c r="K18" i="12"/>
  <c r="K19" i="12" s="1"/>
  <c r="L18" i="12"/>
  <c r="L19" i="12" s="1"/>
  <c r="M18" i="12"/>
  <c r="M19" i="12" s="1"/>
  <c r="N18" i="12"/>
  <c r="N19" i="12" s="1"/>
  <c r="O18" i="12"/>
  <c r="O19" i="12" s="1"/>
  <c r="P18" i="12"/>
  <c r="P19" i="12" s="1"/>
  <c r="Q18" i="12"/>
  <c r="Q19" i="12" s="1"/>
  <c r="R18" i="12"/>
  <c r="R19" i="12" s="1"/>
  <c r="S18" i="12"/>
  <c r="S19" i="12" s="1"/>
  <c r="T18" i="12"/>
  <c r="T19" i="12" s="1"/>
  <c r="U18" i="12"/>
  <c r="U19" i="12" s="1"/>
  <c r="V18" i="12"/>
  <c r="V19" i="12" s="1"/>
  <c r="W18" i="12"/>
  <c r="W19" i="12" s="1"/>
  <c r="X18" i="12"/>
  <c r="X19" i="12" s="1"/>
  <c r="Y18" i="12"/>
  <c r="Y19" i="12" s="1"/>
  <c r="Z18" i="12"/>
  <c r="Z19" i="12" s="1"/>
  <c r="AA18" i="12"/>
  <c r="AA19" i="12" s="1"/>
  <c r="AB18" i="12"/>
  <c r="AB19" i="12" s="1"/>
  <c r="AC18" i="12"/>
  <c r="AC19" i="12" s="1"/>
  <c r="AD18" i="12"/>
  <c r="AD19" i="12" s="1"/>
  <c r="AE18" i="12"/>
  <c r="AE19" i="12" s="1"/>
  <c r="AF18" i="12"/>
  <c r="AF19" i="12" s="1"/>
  <c r="AG18" i="12"/>
  <c r="AG19" i="12" s="1"/>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E37" i="3"/>
  <c r="D11" i="3"/>
  <c r="C4" i="13" s="1"/>
  <c r="D19" i="3"/>
  <c r="F19" i="3"/>
  <c r="E11" i="3"/>
  <c r="D4" i="13" s="1"/>
  <c r="E19" i="3"/>
  <c r="F17" i="3"/>
  <c r="F11" i="3"/>
  <c r="E4" i="13" s="1"/>
  <c r="E17" i="3"/>
  <c r="D62" i="12" l="1"/>
  <c r="D59" i="12"/>
  <c r="X5" i="8"/>
  <c r="P5" i="8"/>
  <c r="H5" i="8"/>
  <c r="AE5" i="8"/>
  <c r="AA5" i="8"/>
  <c r="W5" i="8"/>
  <c r="S5" i="8"/>
  <c r="O5" i="8"/>
  <c r="K5" i="8"/>
  <c r="G5" i="8"/>
  <c r="C5" i="8"/>
  <c r="AF5" i="8"/>
  <c r="AB5" i="8"/>
  <c r="L5" i="8"/>
  <c r="D5" i="8"/>
  <c r="AD5" i="8"/>
  <c r="Z5" i="8"/>
  <c r="V5" i="8"/>
  <c r="R5" i="8"/>
  <c r="N5" i="8"/>
  <c r="J5" i="8"/>
  <c r="F5" i="8"/>
  <c r="T5" i="8"/>
  <c r="AC5" i="8"/>
  <c r="Y5" i="8"/>
  <c r="U5" i="8"/>
  <c r="Q5" i="8"/>
  <c r="M5" i="8"/>
  <c r="I5" i="8"/>
  <c r="E5" i="8"/>
  <c r="C6" i="7"/>
  <c r="AD33" i="12"/>
  <c r="AD37" i="12" s="1"/>
  <c r="AC5" i="13"/>
  <c r="Z33" i="12"/>
  <c r="Z37" i="12" s="1"/>
  <c r="Y5" i="13"/>
  <c r="V33" i="12"/>
  <c r="V37" i="12" s="1"/>
  <c r="U5" i="13"/>
  <c r="R33" i="12"/>
  <c r="R37" i="12" s="1"/>
  <c r="Q5" i="13"/>
  <c r="N33" i="12"/>
  <c r="N37" i="12" s="1"/>
  <c r="M5" i="13"/>
  <c r="J33" i="12"/>
  <c r="J37" i="12" s="1"/>
  <c r="I5" i="13"/>
  <c r="F33" i="12"/>
  <c r="F37" i="12" s="1"/>
  <c r="E5" i="13"/>
  <c r="E6" i="13" s="1"/>
  <c r="AG33" i="12"/>
  <c r="AG37" i="12" s="1"/>
  <c r="AF5" i="13"/>
  <c r="AC33" i="12"/>
  <c r="AC37" i="12" s="1"/>
  <c r="AB5" i="13"/>
  <c r="Y33" i="12"/>
  <c r="Y37" i="12" s="1"/>
  <c r="X5" i="13"/>
  <c r="U33" i="12"/>
  <c r="U37" i="12" s="1"/>
  <c r="T5" i="13"/>
  <c r="Q33" i="12"/>
  <c r="Q37" i="12" s="1"/>
  <c r="P5" i="13"/>
  <c r="M33" i="12"/>
  <c r="M37" i="12" s="1"/>
  <c r="L5" i="13"/>
  <c r="I33" i="12"/>
  <c r="I37" i="12" s="1"/>
  <c r="H5" i="13"/>
  <c r="E33" i="12"/>
  <c r="E37" i="12" s="1"/>
  <c r="D5" i="13"/>
  <c r="D6" i="13" s="1"/>
  <c r="AF33" i="12"/>
  <c r="AF37" i="12" s="1"/>
  <c r="AE5" i="13"/>
  <c r="AB33" i="12"/>
  <c r="AB37" i="12" s="1"/>
  <c r="AA5" i="13"/>
  <c r="X33" i="12"/>
  <c r="X37" i="12" s="1"/>
  <c r="W5" i="13"/>
  <c r="T33" i="12"/>
  <c r="T37" i="12" s="1"/>
  <c r="S5" i="13"/>
  <c r="P33" i="12"/>
  <c r="P37" i="12" s="1"/>
  <c r="O5" i="13"/>
  <c r="L33" i="12"/>
  <c r="L37" i="12" s="1"/>
  <c r="K5" i="13"/>
  <c r="H33" i="12"/>
  <c r="H37" i="12" s="1"/>
  <c r="G5" i="13"/>
  <c r="C5" i="13"/>
  <c r="C6" i="13" s="1"/>
  <c r="AE33" i="12"/>
  <c r="AE37" i="12" s="1"/>
  <c r="AD5" i="13"/>
  <c r="AA33" i="12"/>
  <c r="AA37" i="12" s="1"/>
  <c r="Z5" i="13"/>
  <c r="W33" i="12"/>
  <c r="W37" i="12" s="1"/>
  <c r="V5" i="13"/>
  <c r="S33" i="12"/>
  <c r="S37" i="12" s="1"/>
  <c r="R5" i="13"/>
  <c r="O33" i="12"/>
  <c r="O37" i="12" s="1"/>
  <c r="N5" i="13"/>
  <c r="K33" i="12"/>
  <c r="K37" i="12" s="1"/>
  <c r="J5" i="13"/>
  <c r="G33" i="12"/>
  <c r="G37" i="12" s="1"/>
  <c r="F5" i="13"/>
  <c r="E27" i="3"/>
  <c r="D4" i="7" s="1"/>
  <c r="G11" i="3"/>
  <c r="F4" i="13" s="1"/>
  <c r="F37" i="3"/>
  <c r="G17" i="3"/>
  <c r="C38" i="12" l="1"/>
  <c r="G55" i="12"/>
  <c r="G62" i="12" s="1"/>
  <c r="W55" i="12"/>
  <c r="W59" i="12" s="1"/>
  <c r="P55" i="12"/>
  <c r="P62" i="12" s="1"/>
  <c r="X55" i="12"/>
  <c r="X56" i="12" s="1"/>
  <c r="I55" i="12"/>
  <c r="I59" i="12" s="1"/>
  <c r="Q55" i="12"/>
  <c r="Q62" i="12" s="1"/>
  <c r="Y55" i="12"/>
  <c r="Y56" i="12" s="1"/>
  <c r="AG55" i="12"/>
  <c r="AG62" i="12" s="1"/>
  <c r="J55" i="12"/>
  <c r="J56" i="12" s="1"/>
  <c r="R55" i="12"/>
  <c r="R56" i="12" s="1"/>
  <c r="Z55" i="12"/>
  <c r="Z59" i="12" s="1"/>
  <c r="S55" i="12"/>
  <c r="S62" i="12" s="1"/>
  <c r="AA55" i="12"/>
  <c r="AA56" i="12" s="1"/>
  <c r="L55" i="12"/>
  <c r="L62" i="12" s="1"/>
  <c r="T55" i="12"/>
  <c r="T59" i="12" s="1"/>
  <c r="E55" i="12"/>
  <c r="E62" i="12" s="1"/>
  <c r="M55" i="12"/>
  <c r="M59" i="12" s="1"/>
  <c r="U55" i="12"/>
  <c r="U59" i="12" s="1"/>
  <c r="AC55" i="12"/>
  <c r="AC62" i="12" s="1"/>
  <c r="F55" i="12"/>
  <c r="F56" i="12" s="1"/>
  <c r="N55" i="12"/>
  <c r="N62" i="12" s="1"/>
  <c r="V55" i="12"/>
  <c r="V56" i="12" s="1"/>
  <c r="AD55" i="12"/>
  <c r="AD59" i="12" s="1"/>
  <c r="O55" i="12"/>
  <c r="O56" i="12" s="1"/>
  <c r="AE55" i="12"/>
  <c r="AE56" i="12" s="1"/>
  <c r="H55" i="12"/>
  <c r="H56" i="12" s="1"/>
  <c r="AF55" i="12"/>
  <c r="AF59" i="12" s="1"/>
  <c r="K55" i="12"/>
  <c r="K59" i="12" s="1"/>
  <c r="AB55" i="12"/>
  <c r="AB56" i="12" s="1"/>
  <c r="F6" i="13"/>
  <c r="D6" i="7"/>
  <c r="G19" i="3"/>
  <c r="F27" i="3"/>
  <c r="E4" i="7" s="1"/>
  <c r="G37" i="3"/>
  <c r="G27" i="3"/>
  <c r="F4" i="7" s="1"/>
  <c r="H17" i="3"/>
  <c r="R62" i="12" l="1"/>
  <c r="I56" i="12"/>
  <c r="V59" i="12"/>
  <c r="AA62" i="12"/>
  <c r="AD56" i="12"/>
  <c r="AA59" i="12"/>
  <c r="J59" i="12"/>
  <c r="F62" i="12"/>
  <c r="G59" i="12"/>
  <c r="Q56" i="12"/>
  <c r="AE62" i="12"/>
  <c r="M62" i="12"/>
  <c r="AB62" i="12"/>
  <c r="G56" i="12"/>
  <c r="AC56" i="12"/>
  <c r="AC59" i="12"/>
  <c r="P56" i="12"/>
  <c r="AF62" i="12"/>
  <c r="T56" i="12"/>
  <c r="Y59" i="12"/>
  <c r="Z62" i="12"/>
  <c r="Z56" i="12"/>
  <c r="L59" i="12"/>
  <c r="Q59" i="12"/>
  <c r="AF56" i="12"/>
  <c r="X62" i="12"/>
  <c r="E59" i="12"/>
  <c r="X59" i="12"/>
  <c r="K62" i="12"/>
  <c r="S56" i="12"/>
  <c r="AG56" i="12"/>
  <c r="H59" i="12"/>
  <c r="O62" i="12"/>
  <c r="O59" i="12"/>
  <c r="AG59" i="12"/>
  <c r="V62" i="12"/>
  <c r="K56" i="12"/>
  <c r="H62" i="12"/>
  <c r="F59" i="12"/>
  <c r="U56" i="12"/>
  <c r="E56" i="12"/>
  <c r="L56" i="12"/>
  <c r="S59" i="12"/>
  <c r="R59" i="12"/>
  <c r="W56" i="12"/>
  <c r="U62" i="12"/>
  <c r="W62" i="12"/>
  <c r="AB59" i="12"/>
  <c r="T62" i="12"/>
  <c r="M56" i="12"/>
  <c r="Y62" i="12"/>
  <c r="AE59" i="12"/>
  <c r="J62" i="12"/>
  <c r="I62" i="12"/>
  <c r="N56" i="12"/>
  <c r="N59" i="12"/>
  <c r="AD62" i="12"/>
  <c r="P59" i="12"/>
  <c r="E6" i="7"/>
  <c r="H37" i="3"/>
  <c r="H11" i="3"/>
  <c r="G4" i="13" s="1"/>
  <c r="G6" i="13" s="1"/>
  <c r="H19" i="3"/>
  <c r="I17" i="3"/>
  <c r="I19" i="3"/>
  <c r="I11" i="3"/>
  <c r="H4" i="13" s="1"/>
  <c r="H6" i="13" s="1"/>
  <c r="H27" i="3" l="1"/>
  <c r="G4" i="7" s="1"/>
  <c r="I37" i="3"/>
  <c r="J17" i="3"/>
  <c r="J19" i="3"/>
  <c r="F6" i="7" l="1"/>
  <c r="G6" i="7"/>
  <c r="J11" i="3"/>
  <c r="I4" i="13" s="1"/>
  <c r="I6" i="13" s="1"/>
  <c r="I27" i="3"/>
  <c r="H4" i="7" s="1"/>
  <c r="J37" i="3"/>
  <c r="J27" i="3"/>
  <c r="I4" i="7" s="1"/>
  <c r="K17" i="3"/>
  <c r="K11" i="3"/>
  <c r="J4" i="13" s="1"/>
  <c r="J6" i="13" s="1"/>
  <c r="K19" i="3"/>
  <c r="K37" i="3" l="1"/>
  <c r="L17" i="3"/>
  <c r="L19" i="3"/>
  <c r="L11" i="3"/>
  <c r="K4" i="13" s="1"/>
  <c r="K6" i="13" s="1"/>
  <c r="H6" i="7" l="1"/>
  <c r="I6" i="7"/>
  <c r="K27" i="3"/>
  <c r="J4" i="7" s="1"/>
  <c r="L37" i="3"/>
  <c r="L27" i="3"/>
  <c r="K4" i="7" s="1"/>
  <c r="M17" i="3"/>
  <c r="M11" i="3"/>
  <c r="L4" i="13" s="1"/>
  <c r="L6" i="13" s="1"/>
  <c r="M19" i="3"/>
  <c r="J6" i="7" l="1"/>
  <c r="M37" i="3"/>
  <c r="M27" i="3"/>
  <c r="L4" i="7" s="1"/>
  <c r="N17" i="3"/>
  <c r="N11" i="3"/>
  <c r="M4" i="13" s="1"/>
  <c r="M6" i="13" s="1"/>
  <c r="K6" i="7" l="1"/>
  <c r="N19" i="3"/>
  <c r="N37" i="3"/>
  <c r="N27" i="3"/>
  <c r="M4" i="7" s="1"/>
  <c r="O17" i="3"/>
  <c r="O11" i="3"/>
  <c r="N4" i="13" s="1"/>
  <c r="N6" i="13" s="1"/>
  <c r="O19" i="3"/>
  <c r="O37" i="3" l="1"/>
  <c r="P17" i="3"/>
  <c r="L6" i="7" l="1"/>
  <c r="M6" i="7"/>
  <c r="P37" i="3"/>
  <c r="P11" i="3"/>
  <c r="O4" i="13" s="1"/>
  <c r="O6" i="13" s="1"/>
  <c r="P19" i="3"/>
  <c r="O27" i="3"/>
  <c r="N4" i="7" s="1"/>
  <c r="Q17" i="3"/>
  <c r="Q19" i="3"/>
  <c r="Q11" i="3"/>
  <c r="P4" i="13" s="1"/>
  <c r="P6" i="13" s="1"/>
  <c r="N6" i="7" l="1"/>
  <c r="P27" i="3"/>
  <c r="O4" i="7" s="1"/>
  <c r="R19" i="3"/>
  <c r="Q37" i="3"/>
  <c r="R17" i="3"/>
  <c r="R11" i="3"/>
  <c r="Q4" i="13" s="1"/>
  <c r="Q6" i="13" s="1"/>
  <c r="O6" i="7" l="1"/>
  <c r="Q27" i="3"/>
  <c r="P4" i="7" s="1"/>
  <c r="R37" i="3"/>
  <c r="S17" i="3"/>
  <c r="S11" i="3"/>
  <c r="R4" i="13" s="1"/>
  <c r="R6" i="13" s="1"/>
  <c r="P6" i="7" l="1"/>
  <c r="R27" i="3"/>
  <c r="Q4" i="7" s="1"/>
  <c r="S19" i="3"/>
  <c r="S37" i="3"/>
  <c r="S27" i="3"/>
  <c r="R4" i="7" s="1"/>
  <c r="T17" i="3"/>
  <c r="T19" i="3"/>
  <c r="T11" i="3"/>
  <c r="S4" i="13" s="1"/>
  <c r="S6" i="13" s="1"/>
  <c r="Q6" i="7" l="1"/>
  <c r="U11" i="3"/>
  <c r="T4" i="13" s="1"/>
  <c r="T6" i="13" s="1"/>
  <c r="T37" i="3"/>
  <c r="U17" i="3"/>
  <c r="U19" i="3"/>
  <c r="T27" i="3" l="1"/>
  <c r="S4" i="7" s="1"/>
  <c r="U37" i="3"/>
  <c r="V17" i="3"/>
  <c r="V19" i="3"/>
  <c r="R6" i="7" l="1"/>
  <c r="S6" i="7"/>
  <c r="U27" i="3"/>
  <c r="T4" i="7" s="1"/>
  <c r="V11" i="3"/>
  <c r="U4" i="13" s="1"/>
  <c r="U6" i="13" s="1"/>
  <c r="V37" i="3"/>
  <c r="V27" i="3"/>
  <c r="U4" i="7" s="1"/>
  <c r="W17" i="3"/>
  <c r="W19" i="3"/>
  <c r="W11" i="3"/>
  <c r="V4" i="13" s="1"/>
  <c r="V6" i="13" s="1"/>
  <c r="T6" i="7" l="1"/>
  <c r="X19" i="3"/>
  <c r="W37" i="3"/>
  <c r="X17" i="3"/>
  <c r="X11" i="3"/>
  <c r="W4" i="13" s="1"/>
  <c r="W6" i="13" s="1"/>
  <c r="U6" i="7" l="1"/>
  <c r="W27" i="3"/>
  <c r="V4" i="7" s="1"/>
  <c r="X37" i="3"/>
  <c r="Y17" i="3"/>
  <c r="Y19" i="3"/>
  <c r="X27" i="3" l="1"/>
  <c r="W4" i="7" s="1"/>
  <c r="Y11" i="3"/>
  <c r="X4" i="13" s="1"/>
  <c r="X6" i="13" s="1"/>
  <c r="Y37" i="3"/>
  <c r="Y27" i="3"/>
  <c r="X4" i="7" s="1"/>
  <c r="Z17" i="3"/>
  <c r="Z19" i="3"/>
  <c r="Z11" i="3"/>
  <c r="Y4" i="13" s="1"/>
  <c r="Y6" i="13" s="1"/>
  <c r="V6" i="7" l="1"/>
  <c r="W6" i="7"/>
  <c r="AA11" i="3"/>
  <c r="Z4" i="13" s="1"/>
  <c r="Z6" i="13" s="1"/>
  <c r="Z37" i="3"/>
  <c r="AA17" i="3"/>
  <c r="AA19" i="3"/>
  <c r="X6" i="7" l="1"/>
  <c r="Z27" i="3"/>
  <c r="Y4" i="7" s="1"/>
  <c r="AA37" i="3"/>
  <c r="AB17" i="3"/>
  <c r="AB19" i="3"/>
  <c r="Y6" i="7" l="1"/>
  <c r="AB11" i="3"/>
  <c r="AA4" i="13" s="1"/>
  <c r="AA6" i="13" s="1"/>
  <c r="AA27" i="3"/>
  <c r="Z4" i="7" s="1"/>
  <c r="AB37" i="3"/>
  <c r="AB27" i="3"/>
  <c r="AA4" i="7" s="1"/>
  <c r="AC17" i="3"/>
  <c r="AC11" i="3"/>
  <c r="AB4" i="13" s="1"/>
  <c r="AB6" i="13" s="1"/>
  <c r="AC19" i="3"/>
  <c r="AC37" i="3" l="1"/>
  <c r="AD17" i="3"/>
  <c r="AD11" i="3"/>
  <c r="AC4" i="13" s="1"/>
  <c r="AC6" i="13" s="1"/>
  <c r="AD19" i="3"/>
  <c r="Z6" i="7" l="1"/>
  <c r="AA6" i="7"/>
  <c r="AC27" i="3"/>
  <c r="AB4" i="7" s="1"/>
  <c r="AD37" i="3"/>
  <c r="AD27" i="3"/>
  <c r="AC4" i="7" s="1"/>
  <c r="AE17" i="3"/>
  <c r="AE11" i="3"/>
  <c r="AD4" i="13" s="1"/>
  <c r="AD6" i="13" s="1"/>
  <c r="AE19" i="3"/>
  <c r="AB6" i="7" l="1"/>
  <c r="AF19" i="3"/>
  <c r="AE37" i="3"/>
  <c r="AF17" i="3"/>
  <c r="AF11" i="3"/>
  <c r="AE4" i="13" s="1"/>
  <c r="AE6" i="13" s="1"/>
  <c r="AC6" i="7" l="1"/>
  <c r="AE27" i="3"/>
  <c r="AD4" i="7" s="1"/>
  <c r="AF37" i="3"/>
  <c r="AG17" i="3"/>
  <c r="AG11" i="3"/>
  <c r="AF4" i="13" s="1"/>
  <c r="AF6" i="13" s="1"/>
  <c r="C17" i="13" l="1"/>
  <c r="AF27" i="3"/>
  <c r="AE4" i="7" s="1"/>
  <c r="AG19" i="3"/>
  <c r="AG37" i="3"/>
  <c r="AG27" i="3"/>
  <c r="AF4" i="7" s="1"/>
  <c r="AD6" i="7" l="1"/>
  <c r="AE6" i="7"/>
  <c r="AF6" i="7" l="1"/>
  <c r="C17" i="7" s="1"/>
  <c r="AG8" i="3" l="1"/>
  <c r="AG9" i="3" s="1"/>
  <c r="AF8" i="3"/>
  <c r="AF9" i="3" s="1"/>
  <c r="AE8" i="3"/>
  <c r="AE9" i="3" s="1"/>
  <c r="AD8" i="3"/>
  <c r="AD9" i="3" s="1"/>
  <c r="AC8" i="3"/>
  <c r="AC9" i="3" s="1"/>
  <c r="AB8" i="3"/>
  <c r="AB9" i="3" s="1"/>
  <c r="AA8" i="3"/>
  <c r="AA9" i="3" s="1"/>
  <c r="Z8" i="3"/>
  <c r="Z9" i="3" s="1"/>
  <c r="Y8" i="3"/>
  <c r="Y9" i="3" s="1"/>
  <c r="X8" i="3"/>
  <c r="X9" i="3" s="1"/>
  <c r="W8" i="3"/>
  <c r="W9" i="3" s="1"/>
  <c r="V8" i="3"/>
  <c r="V9" i="3" s="1"/>
  <c r="U8" i="3"/>
  <c r="U9" i="3" s="1"/>
  <c r="T8" i="3"/>
  <c r="T9" i="3" s="1"/>
  <c r="S8" i="3"/>
  <c r="S9" i="3" s="1"/>
  <c r="R8" i="3"/>
  <c r="R9" i="3" s="1"/>
  <c r="Q8" i="3"/>
  <c r="Q9" i="3" s="1"/>
  <c r="P8" i="3"/>
  <c r="P9" i="3" s="1"/>
  <c r="O8" i="3"/>
  <c r="O9" i="3" s="1"/>
  <c r="N8" i="3"/>
  <c r="N9" i="3" s="1"/>
  <c r="M8" i="3"/>
  <c r="M9" i="3" s="1"/>
  <c r="L8" i="3"/>
  <c r="L9" i="3" s="1"/>
  <c r="K8" i="3"/>
  <c r="K9" i="3" s="1"/>
  <c r="J8" i="3"/>
  <c r="J9" i="3" s="1"/>
  <c r="I8" i="3"/>
  <c r="I9" i="3" s="1"/>
  <c r="H8" i="3"/>
  <c r="H9" i="3" s="1"/>
  <c r="G8" i="3"/>
  <c r="G9" i="3" s="1"/>
  <c r="F8" i="3"/>
  <c r="F9" i="3" s="1"/>
  <c r="E8" i="3"/>
  <c r="E9" i="3" s="1"/>
  <c r="D8" i="3"/>
  <c r="D9" i="3" s="1"/>
  <c r="E4" i="8" l="1"/>
  <c r="M4" i="8"/>
  <c r="Y15" i="14"/>
  <c r="Y12" i="14"/>
  <c r="F4" i="8"/>
  <c r="J4" i="8"/>
  <c r="N4" i="8"/>
  <c r="R15" i="14"/>
  <c r="R12" i="14"/>
  <c r="V15" i="14"/>
  <c r="V12" i="14"/>
  <c r="Z12" i="14"/>
  <c r="Z15" i="14"/>
  <c r="AD12" i="14"/>
  <c r="AD15" i="14"/>
  <c r="I4" i="8"/>
  <c r="U12" i="14"/>
  <c r="U15" i="14"/>
  <c r="C4" i="8"/>
  <c r="C6" i="8" s="1"/>
  <c r="K4" i="8"/>
  <c r="O4" i="8"/>
  <c r="S15" i="14"/>
  <c r="S12" i="14"/>
  <c r="W15" i="14"/>
  <c r="W12" i="14"/>
  <c r="AA12" i="14"/>
  <c r="AA15" i="14"/>
  <c r="AE12" i="14"/>
  <c r="AE15" i="14"/>
  <c r="Q4" i="8"/>
  <c r="AC15" i="14"/>
  <c r="AC12" i="14"/>
  <c r="G4" i="8"/>
  <c r="D4" i="8"/>
  <c r="H4" i="8"/>
  <c r="L4" i="8"/>
  <c r="P4" i="8"/>
  <c r="T15" i="14"/>
  <c r="T12" i="14"/>
  <c r="X12" i="14"/>
  <c r="X15" i="14"/>
  <c r="AB12" i="14"/>
  <c r="AB15" i="14"/>
  <c r="AF15" i="14"/>
  <c r="AF12" i="14"/>
  <c r="R4" i="8"/>
  <c r="R6" i="8" s="1"/>
  <c r="Z4" i="8"/>
  <c r="Z6" i="8" s="1"/>
  <c r="AD4" i="8"/>
  <c r="AD6" i="8" s="1"/>
  <c r="S4" i="8"/>
  <c r="S6" i="8" s="1"/>
  <c r="W4" i="8"/>
  <c r="W6" i="8" s="1"/>
  <c r="AA4" i="8"/>
  <c r="AA6" i="8" s="1"/>
  <c r="AE4" i="8"/>
  <c r="AE6" i="8" s="1"/>
  <c r="T4" i="8"/>
  <c r="T6" i="8" s="1"/>
  <c r="X4" i="8"/>
  <c r="X6" i="8" s="1"/>
  <c r="AB4" i="8"/>
  <c r="AB6" i="8" s="1"/>
  <c r="AF4" i="8"/>
  <c r="AF6" i="8" s="1"/>
  <c r="V4" i="8"/>
  <c r="V6" i="8" s="1"/>
  <c r="U4" i="8"/>
  <c r="U6" i="8" s="1"/>
  <c r="Y4" i="8"/>
  <c r="Y6" i="8" s="1"/>
  <c r="AC4" i="8"/>
  <c r="AC6" i="8" s="1"/>
  <c r="H8" i="8"/>
  <c r="H8" i="7" s="1"/>
  <c r="H9" i="7" s="1"/>
  <c r="H8" i="13"/>
  <c r="H9" i="13" s="1"/>
  <c r="P8" i="8"/>
  <c r="P8" i="7" s="1"/>
  <c r="P9" i="7" s="1"/>
  <c r="P8" i="13"/>
  <c r="P9" i="13" s="1"/>
  <c r="X8" i="13"/>
  <c r="X9" i="13" s="1"/>
  <c r="AF8" i="7"/>
  <c r="AF9" i="7" s="1"/>
  <c r="AF8" i="13"/>
  <c r="AF9" i="13" s="1"/>
  <c r="J11" i="8"/>
  <c r="J11" i="7" s="1"/>
  <c r="J12" i="7" s="1"/>
  <c r="J11" i="13"/>
  <c r="J12" i="13" s="1"/>
  <c r="R11" i="7"/>
  <c r="R12" i="7" s="1"/>
  <c r="R11" i="13"/>
  <c r="R12" i="13" s="1"/>
  <c r="AD11" i="7"/>
  <c r="AD12" i="7" s="1"/>
  <c r="AD11" i="13"/>
  <c r="AD12" i="13" s="1"/>
  <c r="I8" i="8"/>
  <c r="I8" i="7" s="1"/>
  <c r="I9" i="7" s="1"/>
  <c r="I8" i="13"/>
  <c r="I9" i="13" s="1"/>
  <c r="Q8" i="8"/>
  <c r="Q8" i="7" s="1"/>
  <c r="Q9" i="7" s="1"/>
  <c r="Q8" i="13"/>
  <c r="Q9" i="13" s="1"/>
  <c r="Y8" i="7"/>
  <c r="Y9" i="7" s="1"/>
  <c r="Y8" i="13"/>
  <c r="Y9" i="13" s="1"/>
  <c r="C11" i="8"/>
  <c r="C11" i="7" s="1"/>
  <c r="C12" i="7" s="1"/>
  <c r="C11" i="13"/>
  <c r="C12" i="13" s="1"/>
  <c r="G11" i="8"/>
  <c r="G11" i="7" s="1"/>
  <c r="G12" i="7" s="1"/>
  <c r="G11" i="13"/>
  <c r="G12" i="13" s="1"/>
  <c r="O11" i="8"/>
  <c r="O11" i="7" s="1"/>
  <c r="O12" i="7" s="1"/>
  <c r="O11" i="13"/>
  <c r="O12" i="13" s="1"/>
  <c r="S11" i="7"/>
  <c r="S12" i="7" s="1"/>
  <c r="S11" i="13"/>
  <c r="S12" i="13" s="1"/>
  <c r="AA11" i="13"/>
  <c r="AA12" i="13" s="1"/>
  <c r="AE11" i="7"/>
  <c r="AE12" i="7" s="1"/>
  <c r="AE11" i="13"/>
  <c r="AE12" i="13" s="1"/>
  <c r="F8" i="8"/>
  <c r="F8" i="7" s="1"/>
  <c r="F9" i="7" s="1"/>
  <c r="F8" i="13"/>
  <c r="F9" i="13" s="1"/>
  <c r="J8" i="8"/>
  <c r="J8" i="7" s="1"/>
  <c r="J9" i="7" s="1"/>
  <c r="J8" i="13"/>
  <c r="J9" i="13" s="1"/>
  <c r="N8" i="8"/>
  <c r="N8" i="7" s="1"/>
  <c r="N9" i="7" s="1"/>
  <c r="N8" i="13"/>
  <c r="N9" i="13" s="1"/>
  <c r="R8" i="7"/>
  <c r="R9" i="7" s="1"/>
  <c r="R8" i="13"/>
  <c r="R9" i="13" s="1"/>
  <c r="V8" i="7"/>
  <c r="V9" i="7" s="1"/>
  <c r="V8" i="13"/>
  <c r="V9" i="13" s="1"/>
  <c r="Z8" i="7"/>
  <c r="Z9" i="7" s="1"/>
  <c r="Z8" i="13"/>
  <c r="Z9" i="13" s="1"/>
  <c r="AD8" i="7"/>
  <c r="AD9" i="7" s="1"/>
  <c r="AD8" i="13"/>
  <c r="AD9" i="13" s="1"/>
  <c r="D11" i="8"/>
  <c r="D11" i="7" s="1"/>
  <c r="D12" i="7" s="1"/>
  <c r="D11" i="13"/>
  <c r="D12" i="13" s="1"/>
  <c r="H11" i="8"/>
  <c r="H11" i="7" s="1"/>
  <c r="H12" i="7" s="1"/>
  <c r="H11" i="13"/>
  <c r="H12" i="13" s="1"/>
  <c r="L11" i="8"/>
  <c r="L11" i="7" s="1"/>
  <c r="L12" i="7" s="1"/>
  <c r="L11" i="13"/>
  <c r="L12" i="13" s="1"/>
  <c r="P11" i="8"/>
  <c r="P11" i="7" s="1"/>
  <c r="P12" i="7" s="1"/>
  <c r="P11" i="13"/>
  <c r="P12" i="13" s="1"/>
  <c r="T11" i="7"/>
  <c r="T12" i="7" s="1"/>
  <c r="T11" i="13"/>
  <c r="T12" i="13" s="1"/>
  <c r="X11" i="7"/>
  <c r="X12" i="7" s="1"/>
  <c r="X11" i="13"/>
  <c r="X12" i="13" s="1"/>
  <c r="AB11" i="7"/>
  <c r="AB12" i="7" s="1"/>
  <c r="AB11" i="13"/>
  <c r="AB12" i="13" s="1"/>
  <c r="AF11" i="7"/>
  <c r="AF12" i="7" s="1"/>
  <c r="AF11" i="13"/>
  <c r="AF12" i="13" s="1"/>
  <c r="D8" i="8"/>
  <c r="D8" i="7" s="1"/>
  <c r="D9" i="7" s="1"/>
  <c r="D8" i="13"/>
  <c r="D9" i="13" s="1"/>
  <c r="L8" i="8"/>
  <c r="L8" i="7" s="1"/>
  <c r="L9" i="7" s="1"/>
  <c r="L8" i="13"/>
  <c r="L9" i="13" s="1"/>
  <c r="T8" i="7"/>
  <c r="T9" i="7" s="1"/>
  <c r="T8" i="13"/>
  <c r="T9" i="13" s="1"/>
  <c r="AB8" i="7"/>
  <c r="AB9" i="7" s="1"/>
  <c r="AB8" i="13"/>
  <c r="AB9" i="13" s="1"/>
  <c r="F11" i="8"/>
  <c r="F11" i="7" s="1"/>
  <c r="F12" i="7" s="1"/>
  <c r="F11" i="13"/>
  <c r="F12" i="13" s="1"/>
  <c r="N11" i="8"/>
  <c r="N11" i="13"/>
  <c r="N12" i="13" s="1"/>
  <c r="V11" i="7"/>
  <c r="V12" i="7" s="1"/>
  <c r="V11" i="13"/>
  <c r="V12" i="13" s="1"/>
  <c r="Z11" i="7"/>
  <c r="Z12" i="7" s="1"/>
  <c r="Z11" i="13"/>
  <c r="Z12" i="13" s="1"/>
  <c r="E8" i="8"/>
  <c r="E8" i="7" s="1"/>
  <c r="E9" i="7" s="1"/>
  <c r="E8" i="13"/>
  <c r="E9" i="13" s="1"/>
  <c r="M8" i="8"/>
  <c r="M8" i="7" s="1"/>
  <c r="M9" i="7" s="1"/>
  <c r="M8" i="13"/>
  <c r="M9" i="13" s="1"/>
  <c r="U8" i="7"/>
  <c r="U9" i="7" s="1"/>
  <c r="U8" i="13"/>
  <c r="U9" i="13" s="1"/>
  <c r="AC8" i="7"/>
  <c r="AC9" i="7" s="1"/>
  <c r="AC8" i="13"/>
  <c r="AC9" i="13" s="1"/>
  <c r="K11" i="8"/>
  <c r="K11" i="7" s="1"/>
  <c r="K12" i="7" s="1"/>
  <c r="K11" i="13"/>
  <c r="K12" i="13" s="1"/>
  <c r="W11" i="7"/>
  <c r="W12" i="7" s="1"/>
  <c r="W11" i="13"/>
  <c r="W12" i="13" s="1"/>
  <c r="C8" i="8"/>
  <c r="C8" i="7" s="1"/>
  <c r="C9" i="7" s="1"/>
  <c r="C8" i="13"/>
  <c r="C9" i="13" s="1"/>
  <c r="G8" i="8"/>
  <c r="G8" i="7" s="1"/>
  <c r="G9" i="7" s="1"/>
  <c r="G8" i="13"/>
  <c r="G9" i="13" s="1"/>
  <c r="K8" i="8"/>
  <c r="K8" i="7" s="1"/>
  <c r="K9" i="7" s="1"/>
  <c r="K8" i="13"/>
  <c r="K9" i="13" s="1"/>
  <c r="O8" i="8"/>
  <c r="O8" i="7" s="1"/>
  <c r="O9" i="7" s="1"/>
  <c r="O8" i="13"/>
  <c r="O9" i="13" s="1"/>
  <c r="S8" i="7"/>
  <c r="S9" i="7" s="1"/>
  <c r="S8" i="13"/>
  <c r="S9" i="13" s="1"/>
  <c r="W8" i="7"/>
  <c r="W9" i="7" s="1"/>
  <c r="W8" i="13"/>
  <c r="W9" i="13" s="1"/>
  <c r="AA8" i="7"/>
  <c r="AA9" i="7" s="1"/>
  <c r="AA8" i="13"/>
  <c r="AA9" i="13" s="1"/>
  <c r="AE8" i="7"/>
  <c r="AE9" i="7" s="1"/>
  <c r="AE8" i="13"/>
  <c r="AE9" i="13" s="1"/>
  <c r="E11" i="8"/>
  <c r="E11" i="7" s="1"/>
  <c r="E12" i="7" s="1"/>
  <c r="E11" i="13"/>
  <c r="E12" i="13" s="1"/>
  <c r="I11" i="8"/>
  <c r="I11" i="7" s="1"/>
  <c r="I12" i="7" s="1"/>
  <c r="I11" i="13"/>
  <c r="I12" i="13" s="1"/>
  <c r="M11" i="8"/>
  <c r="M11" i="7" s="1"/>
  <c r="M12" i="7" s="1"/>
  <c r="M11" i="13"/>
  <c r="M12" i="13" s="1"/>
  <c r="Q11" i="8"/>
  <c r="Q11" i="7" s="1"/>
  <c r="Q12" i="7" s="1"/>
  <c r="Q11" i="13"/>
  <c r="Q12" i="13" s="1"/>
  <c r="U11" i="7"/>
  <c r="U12" i="7" s="1"/>
  <c r="U11" i="13"/>
  <c r="U12" i="13" s="1"/>
  <c r="Y11" i="7"/>
  <c r="Y12" i="7" s="1"/>
  <c r="Y11" i="13"/>
  <c r="Y12" i="13" s="1"/>
  <c r="AC11" i="7"/>
  <c r="AC12" i="7" s="1"/>
  <c r="AC11" i="13"/>
  <c r="AC12" i="13" s="1"/>
  <c r="N11" i="7"/>
  <c r="N12" i="7" s="1"/>
  <c r="X8" i="7"/>
  <c r="X9" i="7" s="1"/>
  <c r="AA11" i="7"/>
  <c r="AA12" i="7" s="1"/>
  <c r="G12" i="3"/>
  <c r="K12" i="3"/>
  <c r="O12" i="3"/>
  <c r="S12" i="3"/>
  <c r="W12" i="3"/>
  <c r="AA12" i="3"/>
  <c r="AE12" i="3"/>
  <c r="D12" i="3"/>
  <c r="H12" i="3"/>
  <c r="L12" i="3"/>
  <c r="P12" i="3"/>
  <c r="T12" i="3"/>
  <c r="X12" i="3"/>
  <c r="AB12" i="3"/>
  <c r="AF12" i="3"/>
  <c r="I12" i="3"/>
  <c r="M12" i="3"/>
  <c r="U12" i="3"/>
  <c r="Y12" i="3"/>
  <c r="AC12" i="3"/>
  <c r="F12" i="3"/>
  <c r="J12" i="3"/>
  <c r="N12" i="3"/>
  <c r="R12" i="3"/>
  <c r="V12" i="3"/>
  <c r="Z12" i="3"/>
  <c r="AD12" i="3"/>
  <c r="E12" i="3"/>
  <c r="Q12" i="3"/>
  <c r="AG12" i="3"/>
  <c r="N12" i="14" l="1"/>
  <c r="N15" i="14"/>
  <c r="H12" i="14"/>
  <c r="H15" i="14"/>
  <c r="Q12" i="14"/>
  <c r="Q15" i="14"/>
  <c r="M15" i="14"/>
  <c r="M12" i="14"/>
  <c r="L12" i="14"/>
  <c r="L15" i="14"/>
  <c r="D15" i="14"/>
  <c r="D12" i="14"/>
  <c r="O15" i="14"/>
  <c r="O12" i="14"/>
  <c r="C20" i="14"/>
  <c r="C15" i="14"/>
  <c r="C12" i="14"/>
  <c r="I15" i="14"/>
  <c r="I12" i="14"/>
  <c r="J12" i="14"/>
  <c r="J15" i="14"/>
  <c r="E12" i="14"/>
  <c r="E15" i="14"/>
  <c r="P15" i="14"/>
  <c r="P12" i="14"/>
  <c r="G12" i="14"/>
  <c r="G15" i="14"/>
  <c r="K12" i="14"/>
  <c r="K15" i="14"/>
  <c r="F15" i="14"/>
  <c r="F12" i="14"/>
  <c r="U12" i="8"/>
  <c r="U9" i="8"/>
  <c r="W12" i="8"/>
  <c r="W9" i="8"/>
  <c r="V12" i="8"/>
  <c r="V9" i="8"/>
  <c r="T9" i="8"/>
  <c r="T12" i="8"/>
  <c r="S9" i="8"/>
  <c r="S12" i="8"/>
  <c r="AC12" i="8"/>
  <c r="AC9" i="8"/>
  <c r="AF12" i="8"/>
  <c r="AF9" i="8"/>
  <c r="AE12" i="8"/>
  <c r="AE9" i="8"/>
  <c r="AD12" i="8"/>
  <c r="AD9" i="8"/>
  <c r="Y9" i="8"/>
  <c r="Y12" i="8"/>
  <c r="AB9" i="8"/>
  <c r="AB12" i="8"/>
  <c r="AA12" i="8"/>
  <c r="AA9" i="8"/>
  <c r="Z12" i="8"/>
  <c r="Z9" i="8"/>
  <c r="X9" i="8"/>
  <c r="X12" i="8"/>
  <c r="R12" i="8"/>
  <c r="R9" i="8"/>
  <c r="C15" i="13"/>
  <c r="C16" i="13"/>
  <c r="C15" i="7"/>
  <c r="C16" i="7"/>
  <c r="B8" i="11" l="1"/>
  <c r="B7" i="15" s="1"/>
  <c r="B8" i="16"/>
  <c r="B9" i="11"/>
  <c r="B8" i="15" s="1"/>
  <c r="B9" i="16"/>
  <c r="C8" i="11"/>
  <c r="C7" i="15" s="1"/>
  <c r="C8" i="16"/>
  <c r="C9" i="11"/>
  <c r="C8" i="15" s="1"/>
  <c r="C9" i="16"/>
  <c r="C19" i="14"/>
  <c r="C9" i="15" s="1"/>
  <c r="C18" i="14"/>
  <c r="B9" i="15" s="1"/>
  <c r="G97" i="1"/>
  <c r="G96" i="1" l="1"/>
  <c r="G98" i="1" s="1"/>
  <c r="F103" i="1" s="1"/>
  <c r="G6" i="1" l="1"/>
  <c r="D39" i="3" s="1"/>
  <c r="G5" i="1"/>
  <c r="D38" i="3" s="1"/>
  <c r="G4" i="1"/>
  <c r="D37" i="3" s="1"/>
  <c r="D40" i="3" s="1"/>
  <c r="D56" i="12" l="1"/>
  <c r="D66" i="12" l="1"/>
  <c r="J20" i="3"/>
  <c r="J22" i="3" s="1"/>
  <c r="J42" i="3" s="1"/>
  <c r="E20" i="3"/>
  <c r="E22" i="3" s="1"/>
  <c r="E42" i="3" s="1"/>
  <c r="G20" i="3"/>
  <c r="G22" i="3" s="1"/>
  <c r="G42" i="3" s="1"/>
  <c r="AC20" i="3"/>
  <c r="AC22" i="3" s="1"/>
  <c r="AC42" i="3" s="1"/>
  <c r="V20" i="3"/>
  <c r="V22" i="3" s="1"/>
  <c r="V42" i="3" s="1"/>
  <c r="T20" i="3"/>
  <c r="T22" i="3" s="1"/>
  <c r="T42" i="3" s="1"/>
  <c r="AA20" i="3"/>
  <c r="AA22" i="3" s="1"/>
  <c r="AA42" i="3" s="1"/>
  <c r="X20" i="3"/>
  <c r="X22" i="3" s="1"/>
  <c r="X42" i="3" s="1"/>
  <c r="F20" i="3"/>
  <c r="F22" i="3" s="1"/>
  <c r="F42" i="3" s="1"/>
  <c r="R20" i="3"/>
  <c r="R22" i="3" s="1"/>
  <c r="R42" i="3" s="1"/>
  <c r="AF20" i="3"/>
  <c r="AF22" i="3" s="1"/>
  <c r="AF42" i="3" s="1"/>
  <c r="AE20" i="3"/>
  <c r="AE22" i="3" s="1"/>
  <c r="AE42" i="3" s="1"/>
  <c r="W20" i="3"/>
  <c r="W22" i="3" s="1"/>
  <c r="W42" i="3" s="1"/>
  <c r="H20" i="3"/>
  <c r="H22" i="3" s="1"/>
  <c r="H42" i="3" s="1"/>
  <c r="AB20" i="3"/>
  <c r="AB22" i="3" s="1"/>
  <c r="AB42" i="3" s="1"/>
  <c r="S20" i="3"/>
  <c r="S22" i="3" s="1"/>
  <c r="S42" i="3" s="1"/>
  <c r="U20" i="3"/>
  <c r="U22" i="3" s="1"/>
  <c r="U42" i="3" s="1"/>
  <c r="Y20" i="3"/>
  <c r="Y22" i="3" s="1"/>
  <c r="Y42" i="3" s="1"/>
  <c r="M20" i="3"/>
  <c r="M22" i="3" s="1"/>
  <c r="M42" i="3" s="1"/>
  <c r="N20" i="3"/>
  <c r="N22" i="3" s="1"/>
  <c r="N42" i="3" s="1"/>
  <c r="P20" i="3"/>
  <c r="P22" i="3" s="1"/>
  <c r="P42" i="3" s="1"/>
  <c r="I20" i="3"/>
  <c r="I22" i="3" s="1"/>
  <c r="I42" i="3" s="1"/>
  <c r="K20" i="3"/>
  <c r="K22" i="3" s="1"/>
  <c r="K42" i="3" s="1"/>
  <c r="L20" i="3"/>
  <c r="L22" i="3" s="1"/>
  <c r="L42" i="3" s="1"/>
  <c r="D20" i="3"/>
  <c r="Q20" i="3"/>
  <c r="Q22" i="3" s="1"/>
  <c r="Q42" i="3" s="1"/>
  <c r="O20" i="3"/>
  <c r="O22" i="3" s="1"/>
  <c r="O42" i="3" s="1"/>
  <c r="AG20" i="3"/>
  <c r="AG22" i="3" s="1"/>
  <c r="AG42" i="3" s="1"/>
  <c r="Z20" i="3"/>
  <c r="Z22" i="3" s="1"/>
  <c r="Z42" i="3" s="1"/>
  <c r="AD20" i="3"/>
  <c r="AD22" i="3" s="1"/>
  <c r="AD42" i="3" s="1"/>
  <c r="D22" i="3" l="1"/>
  <c r="D42" i="3" s="1"/>
  <c r="O46" i="3"/>
  <c r="K46" i="3"/>
  <c r="M46" i="3"/>
  <c r="AF49" i="3"/>
  <c r="AA46" i="3"/>
  <c r="G46" i="3"/>
  <c r="AD46" i="3"/>
  <c r="Q49" i="3"/>
  <c r="I49" i="3"/>
  <c r="Y46" i="3"/>
  <c r="H49" i="3"/>
  <c r="R46" i="3"/>
  <c r="T49" i="3"/>
  <c r="E46" i="3"/>
  <c r="Z46" i="3"/>
  <c r="P46" i="3"/>
  <c r="U49" i="3"/>
  <c r="W49" i="3"/>
  <c r="F49" i="3"/>
  <c r="V46" i="3"/>
  <c r="J49" i="3"/>
  <c r="AG49" i="3"/>
  <c r="L49" i="3"/>
  <c r="N46" i="3"/>
  <c r="S46" i="3"/>
  <c r="AE49" i="3"/>
  <c r="X49" i="3"/>
  <c r="AC46" i="3"/>
  <c r="AB46" i="3"/>
  <c r="F46" i="3"/>
  <c r="V49" i="3"/>
  <c r="S49" i="3"/>
  <c r="Q46" i="3"/>
  <c r="R49" i="3"/>
  <c r="W46" i="3"/>
  <c r="O49" i="3"/>
  <c r="M49" i="3"/>
  <c r="AF46" i="3"/>
  <c r="D49" i="3" l="1"/>
  <c r="C23" i="3"/>
  <c r="D6" i="8"/>
  <c r="Q6" i="8"/>
  <c r="F6" i="8"/>
  <c r="J6" i="8"/>
  <c r="K6" i="8"/>
  <c r="I6" i="8"/>
  <c r="E6" i="8"/>
  <c r="G6" i="8"/>
  <c r="H6" i="8"/>
  <c r="L6" i="8"/>
  <c r="N6" i="8"/>
  <c r="P6" i="8"/>
  <c r="M6" i="8"/>
  <c r="O6" i="8"/>
  <c r="AE46" i="3"/>
  <c r="P49" i="3"/>
  <c r="AC49" i="3"/>
  <c r="G49" i="3"/>
  <c r="K49" i="3"/>
  <c r="N49" i="3"/>
  <c r="Y49" i="3"/>
  <c r="E49" i="3"/>
  <c r="AG46" i="3"/>
  <c r="AA49" i="3"/>
  <c r="AB49" i="3"/>
  <c r="J46" i="3"/>
  <c r="T46" i="3"/>
  <c r="H46" i="3"/>
  <c r="I46" i="3"/>
  <c r="AD49" i="3"/>
  <c r="X46" i="3"/>
  <c r="L46" i="3"/>
  <c r="U46" i="3"/>
  <c r="Z49" i="3"/>
  <c r="D46" i="3"/>
  <c r="D53" i="3" l="1"/>
  <c r="C17" i="8"/>
  <c r="P12" i="8"/>
  <c r="P9" i="8"/>
  <c r="I9" i="8"/>
  <c r="I12" i="8"/>
  <c r="D12" i="8"/>
  <c r="D9" i="8"/>
  <c r="O12" i="8"/>
  <c r="O9" i="8"/>
  <c r="K12" i="8"/>
  <c r="K9" i="8"/>
  <c r="J12" i="8"/>
  <c r="J9" i="8"/>
  <c r="M9" i="8"/>
  <c r="M12" i="8"/>
  <c r="N12" i="8"/>
  <c r="N9" i="8"/>
  <c r="H12" i="8"/>
  <c r="H9" i="8"/>
  <c r="F12" i="8"/>
  <c r="F9" i="8"/>
  <c r="L12" i="8"/>
  <c r="L9" i="8"/>
  <c r="G12" i="8"/>
  <c r="G9" i="8"/>
  <c r="E9" i="8"/>
  <c r="E12" i="8"/>
  <c r="Q9" i="8"/>
  <c r="Q12" i="8"/>
  <c r="C12" i="8"/>
  <c r="C9" i="8"/>
  <c r="D54" i="3"/>
  <c r="C15" i="8" l="1"/>
  <c r="B7" i="16" s="1"/>
  <c r="C16" i="8"/>
  <c r="C7" i="16" s="1"/>
  <c r="C12" i="16" l="1"/>
  <c r="C14" i="16" s="1"/>
  <c r="C13" i="16"/>
  <c r="B12" i="16"/>
  <c r="B14" i="16" s="1"/>
  <c r="B13" i="16"/>
  <c r="C7" i="11"/>
  <c r="B7" i="11"/>
  <c r="B6" i="15" s="1"/>
  <c r="C12" i="11" l="1"/>
  <c r="C12" i="15" s="1"/>
  <c r="C6" i="15"/>
  <c r="B12" i="11"/>
  <c r="B12" i="15" s="1"/>
  <c r="B11" i="11"/>
  <c r="C11" i="11"/>
  <c r="B13" i="11" l="1"/>
  <c r="B13" i="15" s="1"/>
  <c r="B11" i="15"/>
  <c r="C13" i="11"/>
  <c r="C13" i="15" s="1"/>
  <c r="C11" i="15"/>
  <c r="D67" i="12"/>
</calcChain>
</file>

<file path=xl/sharedStrings.xml><?xml version="1.0" encoding="utf-8"?>
<sst xmlns="http://schemas.openxmlformats.org/spreadsheetml/2006/main" count="331" uniqueCount="202">
  <si>
    <t>BCA SUMMARY</t>
  </si>
  <si>
    <t>Discount Rate</t>
  </si>
  <si>
    <t>TOTAL CAPITAL COSTS</t>
  </si>
  <si>
    <t>Benefits:</t>
  </si>
  <si>
    <t>BEB Maintenance Savings</t>
  </si>
  <si>
    <t>Fuel Savings</t>
  </si>
  <si>
    <t>Emissions Reductions</t>
  </si>
  <si>
    <t>Preventing Lost Recreation Trips</t>
  </si>
  <si>
    <t>TOTAL BENEFITS</t>
  </si>
  <si>
    <t>NET BENEFITS</t>
  </si>
  <si>
    <t>BENEFIT-COST RATIO</t>
  </si>
  <si>
    <t>Summary of Cost Benefit Analysis Results</t>
  </si>
  <si>
    <t>Bus Maintenance Savings</t>
  </si>
  <si>
    <t>Recreation trips Not Lost</t>
  </si>
  <si>
    <t>Number</t>
  </si>
  <si>
    <t>Unit Cost (unadj.)</t>
  </si>
  <si>
    <t>Unit Cost Year</t>
  </si>
  <si>
    <t>Unit Cost (2023)</t>
  </si>
  <si>
    <t>Total Cost</t>
  </si>
  <si>
    <t>Source Basic</t>
  </si>
  <si>
    <t>CAPITAL COSTS</t>
  </si>
  <si>
    <t>Electric Buses (BEB)</t>
  </si>
  <si>
    <t>-</t>
  </si>
  <si>
    <t>Chargers and Infrastructure Upgrades</t>
  </si>
  <si>
    <t>Contingency (15%)</t>
  </si>
  <si>
    <t>Propane Bus Rehab Cost</t>
  </si>
  <si>
    <t>Estimate from other NPS park units with propane fleets that have been rehabbed such as Zion National Park</t>
  </si>
  <si>
    <t>Diesel Bus Rehab Cost</t>
  </si>
  <si>
    <t>Expected Life of Rehabbed Vehicles (years)</t>
  </si>
  <si>
    <t>FTA Circular C 9030.1A, paragraph IV-4</t>
  </si>
  <si>
    <t>General Price Inflation</t>
  </si>
  <si>
    <t>Federal Reserve Bank of Cleveland 10-year expected inflation (2024 - 2034)</t>
  </si>
  <si>
    <t>Monetary Base Year</t>
  </si>
  <si>
    <t>MAINTENANCE</t>
  </si>
  <si>
    <t>Annual Diesel/Propane Bus Maint. Cost</t>
  </si>
  <si>
    <t>Cost for shuttle from NPS and private operator</t>
  </si>
  <si>
    <t xml:space="preserve">     Expected Annual Increase (After 1st Rehab)</t>
  </si>
  <si>
    <t xml:space="preserve">     Expected Annual Increase (After 2nd Rehab)</t>
  </si>
  <si>
    <t>Annual Electric Bus Maint. Cost</t>
  </si>
  <si>
    <t>Estimated to be the same as propane shuttle (conservative)</t>
  </si>
  <si>
    <t xml:space="preserve">     Expected Annual Increase</t>
  </si>
  <si>
    <t>FUEL</t>
  </si>
  <si>
    <t>Transit System Service Miles - Purchase Scenario Electric</t>
  </si>
  <si>
    <t>Transit System Service Miles - Purchase Scenario Propane</t>
  </si>
  <si>
    <t>Transit System Service Miles - No Purchase Scenario Propane</t>
  </si>
  <si>
    <t>Estimated fleet miles without the purchase of 3 new electric shuttles</t>
  </si>
  <si>
    <t>Transit System Service Miles - No Purchase Scenario Diesel</t>
  </si>
  <si>
    <t>Propane cost per gallon (to park)</t>
  </si>
  <si>
    <t>Approximate operator's unit cost of propane</t>
  </si>
  <si>
    <t xml:space="preserve">Diesel cost per gallon </t>
  </si>
  <si>
    <t>Approximate operator's unit cost of diesel</t>
  </si>
  <si>
    <t xml:space="preserve">     Expected Annual Fuel Cost Increase</t>
  </si>
  <si>
    <t>Transportation propane 35 year growth prediction, U.S. Energy Information Administration, Energy Outlook 2017, Table: Energy Prices by Sector and Source, https://www.eia.gov/outlooks/aeo/</t>
  </si>
  <si>
    <t>Propane bus fuel efficiency (miles per gallon)</t>
  </si>
  <si>
    <t>Fleet operator</t>
  </si>
  <si>
    <t>Electricity cost per kWh</t>
  </si>
  <si>
    <t>Cost to park</t>
  </si>
  <si>
    <t>Transportation electricity 35 year growth prediction, U.S. Energy Information Administration, Energy Outlook 2017, Table: Energy Prices by Sector and Source, https://www.eia.gov/outlooks/aeo/</t>
  </si>
  <si>
    <t>Electric bus fuel efficiency (miles per kWh)</t>
  </si>
  <si>
    <t>Conservative estimate from Zion's electric shuttle fleet that is slightly larger and older.</t>
  </si>
  <si>
    <t>RECREATION VALUE</t>
  </si>
  <si>
    <t>Data from this section extensively from NPS operator and NPS, 2022 National Visitor Spending Effects, https://www.nps.gov/nature/customcf/NPS_Data_Visualization/docs/NPS_2022_Visitor_Spending_Effects.pdf</t>
  </si>
  <si>
    <t>Number of shuttle passengers 2023</t>
  </si>
  <si>
    <t xml:space="preserve">2023 boardings from NPS operator </t>
  </si>
  <si>
    <t>Annual visitation increase in build case</t>
  </si>
  <si>
    <t>Conservative assumption since ACAD visitation has increased almost every year adding around a million since 2012</t>
  </si>
  <si>
    <t>Annual visitation decrease for no-build case</t>
  </si>
  <si>
    <t>Visitation "Floor" for no-build case decline</t>
  </si>
  <si>
    <t>2021 boardings from NPS operator during peak pandemic year</t>
  </si>
  <si>
    <t>Average num of people per party visiting ACAD</t>
  </si>
  <si>
    <t>2022 National Visitor Spending Effects</t>
  </si>
  <si>
    <t>Average number of days at park</t>
  </si>
  <si>
    <t>Conservative assumption</t>
  </si>
  <si>
    <t>Overnight spending per party, per day</t>
  </si>
  <si>
    <t>Lowest overnight spending rate in 2022 National Visitor Spending Effects, Table 2</t>
  </si>
  <si>
    <t>Local spending per party, per day</t>
  </si>
  <si>
    <t>Local day trip rate in 2017 National Visitor Spending Effects, Table 2</t>
  </si>
  <si>
    <t>Percent of ACAD visitation that is non-local</t>
  </si>
  <si>
    <t>DISCOUNT RATES</t>
  </si>
  <si>
    <t>Propane 10-yr maint. cost @ 6%</t>
  </si>
  <si>
    <t>Electric 10-yr main. Cost @2%</t>
  </si>
  <si>
    <t>DIFF</t>
  </si>
  <si>
    <t>Propane rehab cost</t>
  </si>
  <si>
    <t>TOTAL PROPANE INCREASED COST OVER 10</t>
  </si>
  <si>
    <t>FUEL SAVINGS</t>
  </si>
  <si>
    <t>BEB Purchase</t>
  </si>
  <si>
    <t>No Purchase</t>
  </si>
  <si>
    <t>Fuel Cost Benefits</t>
  </si>
  <si>
    <t>Discount Factor</t>
  </si>
  <si>
    <t>PV Costs (3% discount rate)</t>
  </si>
  <si>
    <t>PV Costs (7% discount rate)</t>
  </si>
  <si>
    <t>Present Value</t>
  </si>
  <si>
    <t xml:space="preserve">     at 3% Discount Rate</t>
  </si>
  <si>
    <t xml:space="preserve">     at 7% Discount Rate</t>
  </si>
  <si>
    <t xml:space="preserve">     Undiscounted</t>
  </si>
  <si>
    <t>MAINTENANCE SAVINGS</t>
  </si>
  <si>
    <t>O&amp;M Benefits</t>
  </si>
  <si>
    <t>EMMISSIONS COSTS</t>
  </si>
  <si>
    <t>No Build</t>
  </si>
  <si>
    <t>Emissions Benefits</t>
  </si>
  <si>
    <t>In-Year Comparison of Emissions, Raise as % of Rehab Scenario</t>
  </si>
  <si>
    <t>EMMISSIONS ASSUMPTIONS AND CALCULATIONS</t>
  </si>
  <si>
    <t>DOT Guidance Emissions Values per short ton</t>
  </si>
  <si>
    <t>Dollar Year</t>
  </si>
  <si>
    <t>lbs/short ton</t>
  </si>
  <si>
    <t>kgs/metric ton</t>
  </si>
  <si>
    <t>Volatile Organic Compounds (VOCs)</t>
  </si>
  <si>
    <t>kgs/short ton</t>
  </si>
  <si>
    <t>Nitrogen oxides (NOx)</t>
  </si>
  <si>
    <t>lbs/metric ton</t>
  </si>
  <si>
    <t>Particulate matter (PM)</t>
  </si>
  <si>
    <t>gs/short ton</t>
  </si>
  <si>
    <t>Sulfur dioxide (SO2)</t>
  </si>
  <si>
    <t>kWh/MWh</t>
  </si>
  <si>
    <t>Carbon Dioxide (CO2) per metric ton*</t>
  </si>
  <si>
    <t>mmBTUs/BTU</t>
  </si>
  <si>
    <t xml:space="preserve">     in 2017 dollars</t>
  </si>
  <si>
    <t>mmBTUs/gallon of propane</t>
  </si>
  <si>
    <t>Source: Table 1 for Petroleum Products, EPA Vehicle Emissions Factors 2023 https://www.epa.gov/system/files/documents/2023-03/ghg_emission_factors_hub.pdf</t>
  </si>
  <si>
    <t xml:space="preserve">* This analysis uses the EPA calculations that are no longer part of the RAISE guidance, as they are still widely referenced in industry and academic reports. To be conservative, this analysis simply uses a 2020 reverence (https://ops.fhwa.dot.gov/publications/fhwahop19053/appendixc.htm) and a 2015 reference. https://www.epa.gov/sites/production/files/2016-12/documents/social_cost_of_carbon_fact_sheet.pdf </t>
  </si>
  <si>
    <t>Electricity Emissions</t>
  </si>
  <si>
    <t>Source: New England values from Table 6, EPA Vehicle Emissions Factors 2023 https://www.epa.gov/system/files/documents/2023-03/ghg_emission_factors_hub.pdf</t>
  </si>
  <si>
    <t>CO2 (lb per MWh)</t>
  </si>
  <si>
    <t xml:space="preserve">     lb per kWh</t>
  </si>
  <si>
    <t xml:space="preserve">     metric ton per kWh</t>
  </si>
  <si>
    <t>N2O (example of NOx)</t>
  </si>
  <si>
    <t xml:space="preserve">     short ton per kWh</t>
  </si>
  <si>
    <t>CH4 (example of VOC)</t>
  </si>
  <si>
    <t>Propane Emissions</t>
  </si>
  <si>
    <t>CO2 (kg per mmBTU)</t>
  </si>
  <si>
    <t xml:space="preserve">     metric ton per mmBTU</t>
  </si>
  <si>
    <t xml:space="preserve">     metric ton per gallon</t>
  </si>
  <si>
    <t>N20 (g per mmBTU)</t>
  </si>
  <si>
    <t xml:space="preserve">     short ton per mmBTU</t>
  </si>
  <si>
    <t xml:space="preserve">     short ton per gallon</t>
  </si>
  <si>
    <t>CH4 (g per mmBTU)</t>
  </si>
  <si>
    <t>Diesel Emissions</t>
  </si>
  <si>
    <t>Source: Table 1,2, and 3 for Petroleum Products, EPA Vehicle Emissions Factors 2023 https://www.epa.gov/system/files/documents/2023-03/ghg_emission_factors_hub.pdf</t>
  </si>
  <si>
    <t>N20 (g per mile)</t>
  </si>
  <si>
    <t>CH4 (g per mile)</t>
  </si>
  <si>
    <t>Per Mile</t>
  </si>
  <si>
    <t xml:space="preserve">     CO2/mile</t>
  </si>
  <si>
    <t xml:space="preserve">     N20/mile</t>
  </si>
  <si>
    <t xml:space="preserve">     CH4/mile</t>
  </si>
  <si>
    <t xml:space="preserve">     Cost/mile</t>
  </si>
  <si>
    <t>Diesel bus fuel efficiency (miles per gallon)</t>
  </si>
  <si>
    <t>Ton to short ton conversion</t>
  </si>
  <si>
    <t>VALUE OF LOST RECREATION TRIPS</t>
  </si>
  <si>
    <t>BEB Purchase Visitation</t>
  </si>
  <si>
    <t>No Purchase- Visitor Spending</t>
  </si>
  <si>
    <t>No-BEB Purchase Visitor Spending</t>
  </si>
  <si>
    <t>Value of Lost Recreation Trips</t>
  </si>
  <si>
    <t>Build Case (BEB Purchase)</t>
  </si>
  <si>
    <t>Year</t>
  </si>
  <si>
    <t>Overall Inflation</t>
  </si>
  <si>
    <t>Number of electric buses</t>
  </si>
  <si>
    <t>Number of propane buses</t>
  </si>
  <si>
    <t>Electric Operating Costs</t>
  </si>
  <si>
    <t>Expected Annual Maintenance Cost Increase for Electric</t>
  </si>
  <si>
    <t>Annual Electric Maintenance Cost</t>
  </si>
  <si>
    <t>Expected Annual Fuel Cost Increase for Electric</t>
  </si>
  <si>
    <t>Annual Electric Fuel costs</t>
  </si>
  <si>
    <t>Total Variable Costs for Electric  Buses</t>
  </si>
  <si>
    <t>7-Year Cyclical Electric Rehab Costs</t>
  </si>
  <si>
    <t>Propane Operating Costs</t>
  </si>
  <si>
    <t>Expected Annual Maintenance Cost Increase for Propane</t>
  </si>
  <si>
    <t>Annual Propane Maintenance Cost</t>
  </si>
  <si>
    <t>Expected Annual Fuel Cost Increase for Propane</t>
  </si>
  <si>
    <t>Annual Propane Fuel costs</t>
  </si>
  <si>
    <t>Total Variable Costs for Existing Propane  Buses</t>
  </si>
  <si>
    <t>Total Variable Costs</t>
  </si>
  <si>
    <t xml:space="preserve">     Undiscounted Maint. Costs</t>
  </si>
  <si>
    <t>Electric Vehicle Emissions Impacts</t>
  </si>
  <si>
    <t>Emissions</t>
  </si>
  <si>
    <t>Propane Vehicle Emissions Impacts</t>
  </si>
  <si>
    <t>Total Emissions Impacts</t>
  </si>
  <si>
    <t>Visitation Growth Rate</t>
  </si>
  <si>
    <t>Annual Visitation (People)</t>
  </si>
  <si>
    <t>Annual Visitation (Parties)</t>
  </si>
  <si>
    <t>Recreation Value</t>
  </si>
  <si>
    <t>Annual Visitation (Party-Days)</t>
  </si>
  <si>
    <t>Annual Visitor Spending (local)</t>
  </si>
  <si>
    <t>Annual Visitor Spending (non-local)</t>
  </si>
  <si>
    <t>Annual Visitor Spending (TOTAL)</t>
  </si>
  <si>
    <t>Electric Vehicle Purchases</t>
  </si>
  <si>
    <t xml:space="preserve">Total </t>
  </si>
  <si>
    <t>Total Costs</t>
  </si>
  <si>
    <t>Purchase Case Total PV</t>
  </si>
  <si>
    <t>No Build Case (No Purchase)</t>
  </si>
  <si>
    <t>Electric buses purchased</t>
  </si>
  <si>
    <t>Propane buses rehabilitated</t>
  </si>
  <si>
    <t>Charging stations installed</t>
  </si>
  <si>
    <t>Number of diesel buses</t>
  </si>
  <si>
    <t>Diesel Operating Costs</t>
  </si>
  <si>
    <t>Expected Annual Maintenance Cost Increase for Diesel</t>
  </si>
  <si>
    <t>Expected Annual Fuel Cost Increase for Diesel</t>
  </si>
  <si>
    <t>Total Variable Costs for Existing Diesel Shuttles</t>
  </si>
  <si>
    <t>7-Year Cyclical Propane Rehab Costs</t>
  </si>
  <si>
    <t>Diesel Vehicle Emissions Impacts</t>
  </si>
  <si>
    <t>Electric Vehicle and Charging Station Purchases</t>
  </si>
  <si>
    <t xml:space="preserve">     Total Costs Less Capital Purchases</t>
  </si>
  <si>
    <t>No BUILD Case Total 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</si>
</sst>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quot;$&quot;#,##0.00"/>
    <numFmt numFmtId="168" formatCode="_(* #,##0.000_);_(* \(#,##0.000\);_(* &quot;-&quot;??_);_(@_)"/>
    <numFmt numFmtId="169" formatCode="_(* #,##0.000000_);_(* \(#,##0.000000\);_(* &quot;-&quot;??_);_(@_)"/>
    <numFmt numFmtId="170" formatCode="0.0"/>
    <numFmt numFmtId="171" formatCode="0.00000000"/>
    <numFmt numFmtId="172" formatCode="0.0000000000"/>
    <numFmt numFmtId="173" formatCode="&quot;$&quot;#,##0.000000_);[Red]\(&quot;$&quot;#,##0.000000\)"/>
    <numFmt numFmtId="174" formatCode="_([$$-409]* #,##0.00_);_([$$-409]* \(#,##0.00\);_([$$-409]* &quot;-&quot;??_);_(@_)"/>
    <numFmt numFmtId="175" formatCode="_([$$-409]* #,##0_);_([$$-409]* \(#,##0\);_([$$-409]* &quot;-&quot;??_);_(@_)"/>
    <numFmt numFmtId="176" formatCode="_(* #,##0.000000000_);_(* \(#,##0.000000000\);_(* &quot;-&quot;??_);_(@_)"/>
    <numFmt numFmtId="177" formatCode="_([$$-409]* #,##0.000000_);_([$$-409]* \(#,##0.000000\);_([$$-409]* &quot;-&quot;??_);_(@_)"/>
    <numFmt numFmtId="178" formatCode="_([$$-409]* #,##0.00_);_([$$-409]* \(#,##0.00\);_([$$-409]* &quot;-&quot;??????_);_(@_)"/>
  </numFmts>
  <fonts count="16">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9"/>
      <color theme="1"/>
      <name val="Calibri"/>
      <family val="2"/>
      <scheme val="minor"/>
    </font>
    <font>
      <b/>
      <i/>
      <sz val="11"/>
      <color theme="1"/>
      <name val="Calibri"/>
      <family val="2"/>
      <scheme val="minor"/>
    </font>
    <font>
      <sz val="11"/>
      <color theme="0"/>
      <name val="Calibri"/>
      <family val="2"/>
      <scheme val="minor"/>
    </font>
    <font>
      <sz val="11"/>
      <color theme="5"/>
      <name val="Calibri"/>
      <family val="2"/>
      <scheme val="minor"/>
    </font>
    <font>
      <b/>
      <u/>
      <sz val="11"/>
      <color theme="1"/>
      <name val="Calibri"/>
      <family val="2"/>
      <scheme val="minor"/>
    </font>
    <font>
      <u/>
      <sz val="11"/>
      <color theme="10"/>
      <name val="Calibri"/>
      <family val="2"/>
      <scheme val="minor"/>
    </font>
    <font>
      <sz val="10"/>
      <color rgb="FF000000"/>
      <name val="Arial"/>
      <family val="2"/>
    </font>
    <font>
      <sz val="11"/>
      <name val="Calibri"/>
      <family val="2"/>
      <scheme val="minor"/>
    </font>
    <font>
      <b/>
      <sz val="11"/>
      <color rgb="FFFF0000"/>
      <name val="Calibri"/>
      <family val="2"/>
      <scheme val="minor"/>
    </font>
    <font>
      <sz val="11"/>
      <color theme="1"/>
      <name val="Calibri"/>
      <family val="2"/>
      <charset val="1"/>
    </font>
    <font>
      <sz val="11"/>
      <color rgb="FF444444"/>
      <name val="Calibri"/>
      <charset val="1"/>
    </font>
  </fonts>
  <fills count="9">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6"/>
        <bgColor indexed="64"/>
      </patternFill>
    </fill>
    <fill>
      <patternFill patternType="solid">
        <fgColor theme="8" tint="0.79998168889431442"/>
        <bgColor indexed="64"/>
      </patternFill>
    </fill>
    <fill>
      <patternFill patternType="solid">
        <fgColor rgb="FFFFFF00"/>
        <bgColor indexed="64"/>
      </patternFill>
    </fill>
  </fills>
  <borders count="10">
    <border>
      <left/>
      <right/>
      <top/>
      <bottom/>
      <diagonal/>
    </border>
    <border>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cellStyleXfs>
  <cellXfs count="168">
    <xf numFmtId="0" fontId="0" fillId="0" borderId="0" xfId="0"/>
    <xf numFmtId="9" fontId="0" fillId="0" borderId="0" xfId="1" applyFont="1"/>
    <xf numFmtId="164" fontId="0" fillId="0" borderId="0" xfId="0" applyNumberFormat="1"/>
    <xf numFmtId="0" fontId="2" fillId="0" borderId="0" xfId="0" applyFont="1"/>
    <xf numFmtId="10" fontId="0" fillId="0" borderId="0" xfId="1" applyNumberFormat="1" applyFont="1"/>
    <xf numFmtId="9" fontId="0" fillId="0" borderId="0" xfId="0" applyNumberFormat="1"/>
    <xf numFmtId="0" fontId="2" fillId="0" borderId="0" xfId="3" applyNumberFormat="1" applyFont="1"/>
    <xf numFmtId="0" fontId="0" fillId="3" borderId="3" xfId="0" applyFont="1" applyFill="1" applyBorder="1"/>
    <xf numFmtId="0" fontId="0" fillId="3" borderId="3" xfId="0" applyFill="1" applyBorder="1"/>
    <xf numFmtId="166" fontId="1" fillId="3" borderId="3" xfId="2" applyNumberFormat="1" applyFont="1" applyFill="1" applyBorder="1"/>
    <xf numFmtId="0" fontId="0" fillId="0" borderId="0" xfId="0" applyFont="1"/>
    <xf numFmtId="0" fontId="0" fillId="4" borderId="3" xfId="0" applyFont="1" applyFill="1" applyBorder="1"/>
    <xf numFmtId="0" fontId="0" fillId="4" borderId="3" xfId="0" applyFill="1" applyBorder="1"/>
    <xf numFmtId="2" fontId="1" fillId="4" borderId="3" xfId="3" applyNumberFormat="1" applyFont="1" applyFill="1" applyBorder="1"/>
    <xf numFmtId="165" fontId="2" fillId="0" borderId="0" xfId="3" applyNumberFormat="1" applyFont="1"/>
    <xf numFmtId="0" fontId="0" fillId="0" borderId="0" xfId="0" applyFont="1" applyFill="1"/>
    <xf numFmtId="0" fontId="2" fillId="0" borderId="0" xfId="0" applyFont="1" applyFill="1"/>
    <xf numFmtId="165" fontId="2" fillId="0" borderId="0" xfId="0" applyNumberFormat="1" applyFont="1"/>
    <xf numFmtId="164" fontId="2" fillId="0" borderId="0" xfId="3" applyNumberFormat="1" applyFont="1"/>
    <xf numFmtId="0" fontId="2" fillId="0" borderId="0" xfId="3" applyNumberFormat="1" applyFont="1" applyAlignment="1">
      <alignment wrapText="1"/>
    </xf>
    <xf numFmtId="2" fontId="1" fillId="3" borderId="3" xfId="3" applyNumberFormat="1" applyFont="1" applyFill="1" applyBorder="1"/>
    <xf numFmtId="1" fontId="0" fillId="0" borderId="0" xfId="1" applyNumberFormat="1" applyFont="1"/>
    <xf numFmtId="3" fontId="0" fillId="0" borderId="0" xfId="0" applyNumberFormat="1"/>
    <xf numFmtId="167" fontId="0" fillId="0" borderId="0" xfId="0" applyNumberFormat="1"/>
    <xf numFmtId="8" fontId="0" fillId="0" borderId="0" xfId="0" applyNumberFormat="1"/>
    <xf numFmtId="2" fontId="0" fillId="0" borderId="0" xfId="0" applyNumberFormat="1"/>
    <xf numFmtId="6" fontId="0" fillId="0" borderId="0" xfId="0" applyNumberFormat="1"/>
    <xf numFmtId="0" fontId="1" fillId="0" borderId="0" xfId="3" applyNumberFormat="1" applyFont="1"/>
    <xf numFmtId="0" fontId="4" fillId="5" borderId="3" xfId="0" applyFont="1" applyFill="1" applyBorder="1" applyAlignment="1">
      <alignment horizontal="center" vertical="center" wrapText="1"/>
    </xf>
    <xf numFmtId="0" fontId="0" fillId="5" borderId="3" xfId="0" applyFont="1" applyFill="1" applyBorder="1"/>
    <xf numFmtId="166" fontId="1" fillId="5" borderId="3" xfId="2" applyNumberFormat="1" applyFont="1" applyFill="1" applyBorder="1"/>
    <xf numFmtId="0" fontId="0" fillId="5" borderId="3" xfId="0" applyFill="1" applyBorder="1"/>
    <xf numFmtId="0" fontId="0" fillId="4" borderId="2" xfId="0" applyFill="1" applyBorder="1"/>
    <xf numFmtId="2" fontId="1" fillId="4" borderId="2" xfId="3" applyNumberFormat="1" applyFont="1" applyFill="1" applyBorder="1"/>
    <xf numFmtId="166" fontId="1" fillId="4" borderId="3" xfId="2" applyNumberFormat="1" applyFont="1" applyFill="1" applyBorder="1"/>
    <xf numFmtId="0" fontId="0" fillId="4" borderId="4" xfId="0" applyFont="1" applyFill="1" applyBorder="1"/>
    <xf numFmtId="0" fontId="0" fillId="4" borderId="4" xfId="0" applyFill="1" applyBorder="1"/>
    <xf numFmtId="0" fontId="4" fillId="0" borderId="3" xfId="0" applyFont="1" applyFill="1" applyBorder="1" applyAlignment="1">
      <alignment horizontal="center" vertical="center" wrapText="1"/>
    </xf>
    <xf numFmtId="0" fontId="0" fillId="0" borderId="3" xfId="0" applyFont="1" applyFill="1" applyBorder="1"/>
    <xf numFmtId="166" fontId="1" fillId="0" borderId="3" xfId="2" applyNumberFormat="1" applyFont="1" applyFill="1" applyBorder="1"/>
    <xf numFmtId="0" fontId="0" fillId="0" borderId="3" xfId="0" applyFill="1" applyBorder="1"/>
    <xf numFmtId="9" fontId="2" fillId="0" borderId="3" xfId="1" applyFont="1" applyFill="1" applyBorder="1"/>
    <xf numFmtId="2" fontId="1" fillId="0" borderId="3" xfId="3" applyNumberFormat="1" applyFont="1" applyFill="1" applyBorder="1"/>
    <xf numFmtId="0" fontId="5" fillId="0" borderId="3"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0" xfId="0" applyFill="1" applyAlignment="1">
      <alignment horizontal="left"/>
    </xf>
    <xf numFmtId="165" fontId="2" fillId="0" borderId="0" xfId="3" applyNumberFormat="1" applyFont="1" applyFill="1"/>
    <xf numFmtId="0" fontId="0" fillId="0" borderId="0" xfId="0" applyFill="1"/>
    <xf numFmtId="166" fontId="0" fillId="0" borderId="0" xfId="0" applyNumberFormat="1" applyFill="1"/>
    <xf numFmtId="0" fontId="2" fillId="0" borderId="0" xfId="0" applyFont="1" applyFill="1" applyAlignment="1">
      <alignment horizontal="left"/>
    </xf>
    <xf numFmtId="165" fontId="2" fillId="0" borderId="0" xfId="0" applyNumberFormat="1" applyFont="1" applyFill="1"/>
    <xf numFmtId="164" fontId="1" fillId="3" borderId="3" xfId="2" applyNumberFormat="1" applyFont="1" applyFill="1" applyBorder="1"/>
    <xf numFmtId="164" fontId="1" fillId="4" borderId="3" xfId="2" applyNumberFormat="1" applyFont="1" applyFill="1" applyBorder="1"/>
    <xf numFmtId="164" fontId="1" fillId="0" borderId="3" xfId="3" applyNumberFormat="1" applyFont="1" applyFill="1" applyBorder="1"/>
    <xf numFmtId="0" fontId="6" fillId="3" borderId="3" xfId="0" applyFont="1" applyFill="1" applyBorder="1" applyAlignment="1">
      <alignment horizontal="center" vertical="center" wrapText="1"/>
    </xf>
    <xf numFmtId="0" fontId="2" fillId="3" borderId="3" xfId="0" applyFont="1" applyFill="1" applyBorder="1"/>
    <xf numFmtId="166" fontId="2" fillId="3" borderId="3" xfId="2" applyNumberFormat="1" applyFont="1" applyFill="1" applyBorder="1"/>
    <xf numFmtId="164" fontId="2" fillId="3" borderId="3" xfId="2" applyNumberFormat="1" applyFont="1" applyFill="1" applyBorder="1"/>
    <xf numFmtId="0" fontId="6" fillId="4" borderId="0" xfId="0" applyFont="1" applyFill="1" applyBorder="1" applyAlignment="1">
      <alignment horizontal="center" vertical="center" wrapText="1"/>
    </xf>
    <xf numFmtId="0" fontId="2" fillId="4" borderId="0" xfId="0" applyFont="1" applyFill="1" applyBorder="1"/>
    <xf numFmtId="166" fontId="2" fillId="4" borderId="0" xfId="2" applyNumberFormat="1" applyFont="1" applyFill="1" applyBorder="1"/>
    <xf numFmtId="164" fontId="2" fillId="4" borderId="3" xfId="2" applyNumberFormat="1" applyFont="1" applyFill="1" applyBorder="1"/>
    <xf numFmtId="0" fontId="6" fillId="0" borderId="3" xfId="0" applyFont="1" applyFill="1" applyBorder="1" applyAlignment="1">
      <alignment horizontal="center" vertical="center" wrapText="1"/>
    </xf>
    <xf numFmtId="0" fontId="2" fillId="0" borderId="3" xfId="0" applyFont="1" applyFill="1" applyBorder="1"/>
    <xf numFmtId="166" fontId="2" fillId="0" borderId="3" xfId="2" applyNumberFormat="1" applyFont="1" applyFill="1" applyBorder="1"/>
    <xf numFmtId="164" fontId="2" fillId="0" borderId="3" xfId="3" applyNumberFormat="1" applyFont="1" applyFill="1" applyBorder="1"/>
    <xf numFmtId="164" fontId="2" fillId="0" borderId="0" xfId="3" applyNumberFormat="1" applyFont="1" applyFill="1" applyBorder="1"/>
    <xf numFmtId="0" fontId="4" fillId="0" borderId="0" xfId="0" applyFont="1"/>
    <xf numFmtId="0" fontId="4" fillId="0" borderId="0" xfId="3" applyNumberFormat="1" applyFont="1"/>
    <xf numFmtId="0" fontId="6" fillId="4" borderId="3" xfId="0" applyFont="1" applyFill="1" applyBorder="1" applyAlignment="1">
      <alignment horizontal="center" vertical="center" wrapText="1"/>
    </xf>
    <xf numFmtId="0" fontId="2" fillId="4" borderId="3" xfId="0" applyFont="1" applyFill="1" applyBorder="1"/>
    <xf numFmtId="166" fontId="2" fillId="4" borderId="3" xfId="2" applyNumberFormat="1" applyFont="1" applyFill="1" applyBorder="1"/>
    <xf numFmtId="2" fontId="1" fillId="0" borderId="0" xfId="3" applyNumberFormat="1" applyFont="1"/>
    <xf numFmtId="2" fontId="4" fillId="0" borderId="0" xfId="3" applyNumberFormat="1" applyFont="1"/>
    <xf numFmtId="164" fontId="8" fillId="0" borderId="3" xfId="3" applyNumberFormat="1" applyFont="1" applyFill="1" applyBorder="1"/>
    <xf numFmtId="166" fontId="0" fillId="0" borderId="0" xfId="2" applyNumberFormat="1" applyFont="1"/>
    <xf numFmtId="43" fontId="0" fillId="0" borderId="0" xfId="0" applyNumberFormat="1"/>
    <xf numFmtId="0" fontId="2" fillId="0" borderId="0" xfId="0" applyFont="1" applyAlignment="1"/>
    <xf numFmtId="0" fontId="0" fillId="0" borderId="0" xfId="0" applyFont="1" applyAlignment="1"/>
    <xf numFmtId="43" fontId="0" fillId="0" borderId="0" xfId="2" applyNumberFormat="1" applyFont="1"/>
    <xf numFmtId="168" fontId="0" fillId="0" borderId="0" xfId="2" applyNumberFormat="1" applyFont="1"/>
    <xf numFmtId="169" fontId="0" fillId="0" borderId="0" xfId="0" applyNumberFormat="1"/>
    <xf numFmtId="171" fontId="0" fillId="0" borderId="0" xfId="0" applyNumberFormat="1"/>
    <xf numFmtId="172" fontId="0" fillId="0" borderId="0" xfId="0" applyNumberFormat="1"/>
    <xf numFmtId="173" fontId="0" fillId="0" borderId="0" xfId="0" applyNumberFormat="1"/>
    <xf numFmtId="0" fontId="6" fillId="6" borderId="3" xfId="0" applyFont="1" applyFill="1" applyBorder="1" applyAlignment="1">
      <alignment horizontal="center" vertical="center" wrapText="1"/>
    </xf>
    <xf numFmtId="0" fontId="0" fillId="6" borderId="3" xfId="0" applyFont="1" applyFill="1" applyBorder="1"/>
    <xf numFmtId="166" fontId="1" fillId="6" borderId="3" xfId="2" applyNumberFormat="1" applyFont="1" applyFill="1" applyBorder="1"/>
    <xf numFmtId="164" fontId="1" fillId="6" borderId="3" xfId="2" applyNumberFormat="1" applyFont="1" applyFill="1" applyBorder="1"/>
    <xf numFmtId="0" fontId="2" fillId="6" borderId="3" xfId="0" applyFont="1" applyFill="1" applyBorder="1"/>
    <xf numFmtId="0" fontId="3" fillId="2" borderId="0" xfId="0" applyFont="1" applyFill="1"/>
    <xf numFmtId="0" fontId="0" fillId="2" borderId="0" xfId="0" applyFill="1"/>
    <xf numFmtId="0" fontId="7" fillId="2" borderId="0" xfId="0" applyFont="1" applyFill="1"/>
    <xf numFmtId="9" fontId="2" fillId="0" borderId="0" xfId="0" applyNumberFormat="1" applyFont="1"/>
    <xf numFmtId="0" fontId="2" fillId="0" borderId="0" xfId="0" applyFont="1" applyFill="1" applyBorder="1" applyAlignment="1">
      <alignment horizontal="right"/>
    </xf>
    <xf numFmtId="0" fontId="9" fillId="0" borderId="0" xfId="0" applyFont="1" applyFill="1" applyBorder="1" applyAlignment="1">
      <alignment horizontal="left"/>
    </xf>
    <xf numFmtId="42" fontId="0" fillId="0" borderId="6" xfId="0" applyNumberFormat="1" applyFont="1" applyBorder="1"/>
    <xf numFmtId="165" fontId="0" fillId="0" borderId="0" xfId="0" applyNumberFormat="1" applyBorder="1"/>
    <xf numFmtId="0" fontId="2" fillId="0" borderId="0" xfId="0" applyFont="1" applyAlignment="1">
      <alignment horizontal="right"/>
    </xf>
    <xf numFmtId="0" fontId="2" fillId="0" borderId="0" xfId="0" applyFont="1" applyFill="1" applyBorder="1"/>
    <xf numFmtId="170" fontId="2" fillId="0" borderId="0" xfId="0" applyNumberFormat="1" applyFont="1"/>
    <xf numFmtId="170" fontId="0" fillId="0" borderId="0" xfId="0" applyNumberFormat="1" applyFont="1"/>
    <xf numFmtId="164" fontId="1" fillId="0" borderId="0" xfId="3" applyNumberFormat="1" applyFont="1" applyFill="1" applyBorder="1"/>
    <xf numFmtId="164" fontId="1" fillId="0" borderId="3" xfId="2" applyNumberFormat="1" applyFont="1" applyFill="1" applyBorder="1"/>
    <xf numFmtId="0" fontId="4" fillId="6"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ont="1" applyFill="1" applyBorder="1"/>
    <xf numFmtId="166" fontId="1" fillId="0" borderId="2" xfId="2" applyNumberFormat="1" applyFont="1" applyFill="1" applyBorder="1"/>
    <xf numFmtId="164" fontId="2" fillId="0" borderId="2" xfId="3" applyNumberFormat="1" applyFont="1" applyFill="1" applyBorder="1"/>
    <xf numFmtId="0" fontId="2" fillId="0" borderId="2" xfId="0" applyFont="1" applyFill="1" applyBorder="1"/>
    <xf numFmtId="0" fontId="4" fillId="3" borderId="3" xfId="0" applyFont="1" applyFill="1" applyBorder="1" applyAlignment="1">
      <alignment vertical="center" wrapText="1"/>
    </xf>
    <xf numFmtId="0" fontId="0" fillId="0" borderId="0" xfId="0" applyAlignment="1">
      <alignment wrapText="1"/>
    </xf>
    <xf numFmtId="3" fontId="11" fillId="0" borderId="0" xfId="0" applyNumberFormat="1" applyFont="1"/>
    <xf numFmtId="0" fontId="6"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0" fillId="7" borderId="2" xfId="0" applyFont="1" applyFill="1" applyBorder="1"/>
    <xf numFmtId="166" fontId="1" fillId="7" borderId="2" xfId="2" applyNumberFormat="1" applyFont="1" applyFill="1" applyBorder="1"/>
    <xf numFmtId="0" fontId="2" fillId="7" borderId="2" xfId="0" applyFont="1" applyFill="1" applyBorder="1"/>
    <xf numFmtId="164" fontId="1" fillId="7" borderId="2" xfId="2" applyNumberFormat="1" applyFont="1" applyFill="1" applyBorder="1"/>
    <xf numFmtId="43" fontId="1" fillId="7" borderId="2" xfId="2" applyNumberFormat="1" applyFont="1" applyFill="1" applyBorder="1"/>
    <xf numFmtId="166" fontId="2" fillId="7" borderId="2" xfId="2" applyNumberFormat="1" applyFont="1" applyFill="1" applyBorder="1"/>
    <xf numFmtId="164" fontId="2" fillId="7" borderId="2" xfId="2" applyNumberFormat="1" applyFont="1" applyFill="1" applyBorder="1"/>
    <xf numFmtId="3" fontId="1" fillId="0" borderId="0" xfId="3" applyNumberFormat="1" applyFont="1"/>
    <xf numFmtId="9" fontId="0" fillId="0" borderId="0" xfId="1" applyFont="1" applyFill="1"/>
    <xf numFmtId="2" fontId="0" fillId="0" borderId="0" xfId="0" applyNumberFormat="1" applyFill="1"/>
    <xf numFmtId="0" fontId="0" fillId="0" borderId="0" xfId="0" applyFill="1" applyBorder="1"/>
    <xf numFmtId="0" fontId="0" fillId="5" borderId="9" xfId="0" applyFill="1" applyBorder="1"/>
    <xf numFmtId="0" fontId="0" fillId="5" borderId="0" xfId="0" applyFill="1"/>
    <xf numFmtId="0" fontId="2" fillId="5" borderId="7" xfId="0" applyFont="1" applyFill="1" applyBorder="1"/>
    <xf numFmtId="9" fontId="2" fillId="5" borderId="7" xfId="0" applyNumberFormat="1" applyFont="1" applyFill="1" applyBorder="1"/>
    <xf numFmtId="42" fontId="0" fillId="5" borderId="0" xfId="0" applyNumberFormat="1" applyFill="1"/>
    <xf numFmtId="0" fontId="0" fillId="5" borderId="8" xfId="0" applyFill="1" applyBorder="1"/>
    <xf numFmtId="42" fontId="0" fillId="5" borderId="8" xfId="0" applyNumberFormat="1" applyFill="1" applyBorder="1"/>
    <xf numFmtId="0" fontId="0" fillId="5" borderId="7" xfId="0" applyFill="1" applyBorder="1"/>
    <xf numFmtId="164" fontId="0" fillId="5" borderId="7" xfId="0" applyNumberFormat="1" applyFill="1" applyBorder="1"/>
    <xf numFmtId="0" fontId="2" fillId="5" borderId="0" xfId="0" applyFont="1" applyFill="1"/>
    <xf numFmtId="164" fontId="2" fillId="5" borderId="0" xfId="0" applyNumberFormat="1" applyFont="1" applyFill="1"/>
    <xf numFmtId="170" fontId="0" fillId="5" borderId="8" xfId="0" applyNumberFormat="1" applyFill="1" applyBorder="1"/>
    <xf numFmtId="9" fontId="2" fillId="8" borderId="0" xfId="0" applyNumberFormat="1" applyFont="1" applyFill="1"/>
    <xf numFmtId="42" fontId="0" fillId="0" borderId="0" xfId="0" applyNumberFormat="1"/>
    <xf numFmtId="44" fontId="0" fillId="0" borderId="0" xfId="0" applyNumberFormat="1"/>
    <xf numFmtId="0" fontId="12" fillId="0" borderId="0" xfId="4" applyFont="1"/>
    <xf numFmtId="0" fontId="13" fillId="0" borderId="0" xfId="0" applyFont="1"/>
    <xf numFmtId="170" fontId="2" fillId="8" borderId="0" xfId="0" applyNumberFormat="1" applyFont="1" applyFill="1"/>
    <xf numFmtId="164" fontId="0" fillId="0" borderId="0" xfId="0" applyNumberFormat="1" applyFill="1"/>
    <xf numFmtId="0" fontId="2" fillId="0" borderId="0" xfId="0" applyFont="1" applyFill="1" applyBorder="1" applyAlignment="1"/>
    <xf numFmtId="43" fontId="0" fillId="0" borderId="0" xfId="0" applyNumberFormat="1" applyFill="1" applyBorder="1"/>
    <xf numFmtId="169" fontId="0" fillId="0" borderId="0" xfId="0" applyNumberFormat="1" applyFill="1" applyBorder="1"/>
    <xf numFmtId="164" fontId="8" fillId="0" borderId="0" xfId="0" applyNumberFormat="1" applyFont="1"/>
    <xf numFmtId="0" fontId="14" fillId="0" borderId="0" xfId="0" applyFont="1"/>
    <xf numFmtId="0" fontId="15" fillId="0" borderId="0" xfId="0" applyFont="1"/>
    <xf numFmtId="43" fontId="1" fillId="5" borderId="3" xfId="2" applyNumberFormat="1" applyFont="1" applyFill="1" applyBorder="1"/>
    <xf numFmtId="175" fontId="1" fillId="5" borderId="3" xfId="2" applyNumberFormat="1" applyFont="1" applyFill="1" applyBorder="1"/>
    <xf numFmtId="165" fontId="1" fillId="5" borderId="3" xfId="2" applyNumberFormat="1" applyFont="1" applyFill="1" applyBorder="1"/>
    <xf numFmtId="175" fontId="2" fillId="5" borderId="3" xfId="2" applyNumberFormat="1" applyFont="1" applyFill="1" applyBorder="1"/>
    <xf numFmtId="174" fontId="2" fillId="5" borderId="3" xfId="2" applyNumberFormat="1" applyFont="1" applyFill="1" applyBorder="1"/>
    <xf numFmtId="176" fontId="0" fillId="0" borderId="0" xfId="0" applyNumberFormat="1"/>
    <xf numFmtId="177" fontId="0" fillId="0" borderId="0" xfId="0" applyNumberFormat="1"/>
    <xf numFmtId="178" fontId="0" fillId="0" borderId="0" xfId="0" applyNumberFormat="1"/>
    <xf numFmtId="0" fontId="4" fillId="4" borderId="3" xfId="0" applyFont="1" applyFill="1" applyBorder="1" applyAlignment="1">
      <alignment horizontal="center" vertical="center" wrapText="1"/>
    </xf>
    <xf numFmtId="0" fontId="2" fillId="0" borderId="0" xfId="0" applyFont="1" applyFill="1" applyAlignment="1">
      <alignment horizontal="center"/>
    </xf>
    <xf numFmtId="0" fontId="0" fillId="5" borderId="0" xfId="0" applyFill="1" applyAlignment="1">
      <alignment horizontal="left"/>
    </xf>
    <xf numFmtId="0" fontId="3" fillId="2" borderId="0" xfId="0" applyFont="1" applyFill="1" applyAlignment="1">
      <alignment horizont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cellXfs>
  <cellStyles count="5">
    <cellStyle name="Comma" xfId="2" builtinId="3"/>
    <cellStyle name="Currency" xfId="3" builtinId="4"/>
    <cellStyle name="Hyperlink" xfId="4" builtinId="8"/>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urces/TIGER%20Modified_ZION%20Bus%20Recapitalization%20Financial%20Model%202016-03-30%20fix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ION Bus Financial model"/>
      <sheetName val="GlobalInputs"/>
      <sheetName val="StaffOverhead"/>
      <sheetName val="Maintenance"/>
      <sheetName val="SummaryPV"/>
      <sheetName val="GraphicsPV"/>
      <sheetName val="SummaryMinLCA"/>
      <sheetName val="BusNumbers"/>
      <sheetName val="Opt1_30ftDS"/>
      <sheetName val="Opt2_30ftDS-TR"/>
      <sheetName val="Opt3_22ftEL"/>
      <sheetName val="Opt4_22EL-TR"/>
      <sheetName val="Opt5_40ftDS"/>
      <sheetName val="Opt6_RetPropane"/>
      <sheetName val="Opt7_RetElecBus-TR"/>
      <sheetName val="Finance"/>
      <sheetName val="Opt9_DelayNewPR-TR"/>
      <sheetName val="Extra_DelayNewEL30-TR"/>
      <sheetName val="Opt10_DelayNewEL-TR"/>
      <sheetName val="CO2Footprint"/>
      <sheetName val="ChartEnergyUse"/>
      <sheetName val="ChartCO2FP"/>
      <sheetName val="Opt8_Combo_PR_EL"/>
      <sheetName val="PREFERRED"/>
      <sheetName val="ChartEnergyCost"/>
      <sheetName val="NOTES"/>
      <sheetName val="units"/>
      <sheetName val="Lists"/>
      <sheetName val="PPT--NPVTable"/>
      <sheetName val="PPT--NPVChart"/>
      <sheetName val="PPT--BusOpCos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refreshError="1"/>
      <sheetData sheetId="25"/>
      <sheetData sheetId="26"/>
      <sheetData sheetId="27"/>
      <sheetData sheetId="28"/>
      <sheetData sheetId="29" refreshError="1"/>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B1D7-F3E3-4DA4-B50F-0C412494760B}">
  <dimension ref="A1:C15"/>
  <sheetViews>
    <sheetView workbookViewId="0">
      <selection activeCell="B17" sqref="B17"/>
    </sheetView>
  </sheetViews>
  <sheetFormatPr defaultRowHeight="15"/>
  <cols>
    <col min="1" max="1" width="30.140625" bestFit="1" customWidth="1"/>
    <col min="2" max="2" width="13.7109375" bestFit="1" customWidth="1"/>
    <col min="3" max="3" width="13.85546875" bestFit="1" customWidth="1"/>
  </cols>
  <sheetData>
    <row r="1" spans="1:3">
      <c r="A1" s="90" t="s">
        <v>0</v>
      </c>
    </row>
    <row r="3" spans="1:3">
      <c r="B3" s="160" t="s">
        <v>1</v>
      </c>
      <c r="C3" s="160"/>
    </row>
    <row r="4" spans="1:3">
      <c r="B4" s="93">
        <v>0.03</v>
      </c>
      <c r="C4" s="93">
        <v>7.0000000000000007E-2</v>
      </c>
    </row>
    <row r="5" spans="1:3">
      <c r="A5" s="94" t="s">
        <v>2</v>
      </c>
      <c r="B5" s="18">
        <v>29411250</v>
      </c>
      <c r="C5" s="18">
        <v>29411250</v>
      </c>
    </row>
    <row r="6" spans="1:3">
      <c r="A6" s="95" t="s">
        <v>3</v>
      </c>
      <c r="B6" s="14"/>
      <c r="C6" s="14"/>
    </row>
    <row r="7" spans="1:3">
      <c r="A7" s="3" t="s">
        <v>4</v>
      </c>
      <c r="B7" s="96">
        <f>Maintenance!C15</f>
        <v>114384025.93006255</v>
      </c>
      <c r="C7" s="96">
        <f>Maintenance!C16</f>
        <v>45729088.371371329</v>
      </c>
    </row>
    <row r="8" spans="1:3">
      <c r="A8" s="3" t="s">
        <v>5</v>
      </c>
      <c r="B8" s="96">
        <f>'Fuel Savings'!C15</f>
        <v>3653011.0069680731</v>
      </c>
      <c r="C8" s="96">
        <f>'Fuel Savings'!C16</f>
        <v>1928610.4783117559</v>
      </c>
    </row>
    <row r="9" spans="1:3">
      <c r="A9" s="3" t="s">
        <v>6</v>
      </c>
      <c r="B9" s="96">
        <f>Emissions!C15</f>
        <v>1127941.5336754925</v>
      </c>
      <c r="C9" s="96">
        <f>Emissions!C16</f>
        <v>579229.40507929202</v>
      </c>
    </row>
    <row r="10" spans="1:3">
      <c r="A10" s="142" t="s">
        <v>7</v>
      </c>
      <c r="B10" s="96">
        <v>0</v>
      </c>
      <c r="C10" s="96">
        <v>0</v>
      </c>
    </row>
    <row r="11" spans="1:3">
      <c r="A11" s="3"/>
      <c r="B11" s="97"/>
      <c r="C11" s="97"/>
    </row>
    <row r="12" spans="1:3">
      <c r="A12" s="98" t="s">
        <v>8</v>
      </c>
      <c r="B12" s="17">
        <f>SUM(B7:B10)</f>
        <v>119164978.47070611</v>
      </c>
      <c r="C12" s="17">
        <f>SUM(C7:C10)</f>
        <v>48236928.254762374</v>
      </c>
    </row>
    <row r="13" spans="1:3">
      <c r="A13" s="94" t="s">
        <v>9</v>
      </c>
      <c r="B13" s="17">
        <f>(SUM(B7:B10))-B5</f>
        <v>89753728.470706105</v>
      </c>
      <c r="C13" s="17">
        <f>(SUM(C7:C10))-C5</f>
        <v>18825678.254762374</v>
      </c>
    </row>
    <row r="14" spans="1:3">
      <c r="A14" s="99" t="s">
        <v>10</v>
      </c>
      <c r="B14" s="143">
        <f>B12/B5</f>
        <v>4.0516801724070248</v>
      </c>
      <c r="C14" s="143">
        <f>C12/C5</f>
        <v>1.6400842621365082</v>
      </c>
    </row>
    <row r="15" spans="1:3">
      <c r="A15" s="99"/>
      <c r="B15" s="101"/>
      <c r="C15" s="101"/>
    </row>
  </sheetData>
  <mergeCells count="1">
    <mergeCell ref="B3:C3"/>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I67"/>
  <sheetViews>
    <sheetView workbookViewId="0">
      <selection activeCell="D4" sqref="D4:AG4"/>
    </sheetView>
  </sheetViews>
  <sheetFormatPr defaultRowHeight="15"/>
  <cols>
    <col min="1" max="1" width="22.5703125" bestFit="1" customWidth="1"/>
    <col min="2" max="2" width="51.28515625" bestFit="1" customWidth="1"/>
    <col min="3" max="3" width="12.5703125" bestFit="1" customWidth="1"/>
    <col min="4" max="4" width="13.28515625" customWidth="1"/>
    <col min="5" max="6" width="11.85546875" customWidth="1"/>
    <col min="7" max="18" width="11.140625" bestFit="1" customWidth="1"/>
    <col min="19" max="19" width="15.85546875" bestFit="1" customWidth="1"/>
    <col min="20" max="25" width="11.140625" bestFit="1" customWidth="1"/>
    <col min="26" max="26" width="12.140625" customWidth="1"/>
    <col min="27" max="30" width="11.140625" bestFit="1" customWidth="1"/>
    <col min="31" max="33" width="11.5703125" bestFit="1" customWidth="1"/>
  </cols>
  <sheetData>
    <row r="1" spans="1:33">
      <c r="A1" s="162" t="s">
        <v>188</v>
      </c>
      <c r="B1" s="162"/>
    </row>
    <row r="2" spans="1:33">
      <c r="A2" s="19"/>
      <c r="B2" s="18"/>
    </row>
    <row r="3" spans="1:33">
      <c r="A3" s="19"/>
      <c r="B3" s="18"/>
    </row>
    <row r="4" spans="1:33">
      <c r="B4" s="3" t="s">
        <v>153</v>
      </c>
      <c r="C4" s="6">
        <v>2027</v>
      </c>
      <c r="D4" s="6">
        <v>2028</v>
      </c>
      <c r="E4" s="6">
        <v>2029</v>
      </c>
      <c r="F4" s="6">
        <v>2030</v>
      </c>
      <c r="G4" s="6">
        <v>2031</v>
      </c>
      <c r="H4" s="6">
        <v>2032</v>
      </c>
      <c r="I4" s="6">
        <v>2033</v>
      </c>
      <c r="J4" s="6">
        <v>2034</v>
      </c>
      <c r="K4" s="6">
        <v>2035</v>
      </c>
      <c r="L4" s="6">
        <v>2036</v>
      </c>
      <c r="M4" s="6">
        <v>2037</v>
      </c>
      <c r="N4" s="6">
        <v>2038</v>
      </c>
      <c r="O4" s="6">
        <v>2039</v>
      </c>
      <c r="P4" s="6">
        <v>2040</v>
      </c>
      <c r="Q4" s="6">
        <v>2041</v>
      </c>
      <c r="R4" s="6">
        <v>2042</v>
      </c>
      <c r="S4" s="6">
        <v>2043</v>
      </c>
      <c r="T4" s="6">
        <v>2044</v>
      </c>
      <c r="U4" s="6">
        <v>2045</v>
      </c>
      <c r="V4" s="6">
        <v>2046</v>
      </c>
      <c r="W4" s="6">
        <v>2047</v>
      </c>
      <c r="X4" s="6">
        <v>2048</v>
      </c>
      <c r="Y4" s="6">
        <v>2049</v>
      </c>
      <c r="Z4" s="6">
        <v>2050</v>
      </c>
      <c r="AA4" s="6">
        <v>2051</v>
      </c>
      <c r="AB4" s="6">
        <v>2052</v>
      </c>
      <c r="AC4" s="6">
        <v>2053</v>
      </c>
      <c r="AD4" s="6">
        <v>2054</v>
      </c>
      <c r="AE4" s="6">
        <v>2055</v>
      </c>
      <c r="AF4" s="6">
        <v>2056</v>
      </c>
      <c r="AG4" s="6">
        <v>2057</v>
      </c>
    </row>
    <row r="5" spans="1:33" s="67" customFormat="1">
      <c r="B5" s="67" t="s">
        <v>154</v>
      </c>
      <c r="C5" s="73">
        <f>(1+'Costs and Assumptions'!$C$12)^(C4-'Costs and Assumptions'!$G$14)</f>
        <v>1.0892398884622339</v>
      </c>
      <c r="D5" s="73">
        <f>(1+'Costs and Assumptions'!$C$12)^(D4-'Costs and Assumptions'!$G$14)</f>
        <v>1.1127674700530181</v>
      </c>
      <c r="E5" s="73">
        <f>(1+'Costs and Assumptions'!$C$12)^(E4-'Costs and Assumptions'!$G$14)</f>
        <v>1.1368032474061633</v>
      </c>
      <c r="F5" s="73">
        <f>(1+'Costs and Assumptions'!$C$12)^(F4-'Costs and Assumptions'!$G$14)</f>
        <v>1.1613581975501366</v>
      </c>
      <c r="G5" s="73">
        <f>(1+'Costs and Assumptions'!$C$12)^(G4-'Costs and Assumptions'!$G$14)</f>
        <v>1.1864435346172197</v>
      </c>
      <c r="H5" s="73">
        <f>(1+'Costs and Assumptions'!$C$12)^(H4-'Costs and Assumptions'!$G$14)</f>
        <v>1.2120707149649517</v>
      </c>
      <c r="I5" s="73">
        <f>(1+'Costs and Assumptions'!$C$12)^(I4-'Costs and Assumptions'!$G$14)</f>
        <v>1.2382514424081947</v>
      </c>
      <c r="J5" s="73">
        <f>(1+'Costs and Assumptions'!$C$12)^(J4-'Costs and Assumptions'!$G$14)</f>
        <v>1.2649976735642119</v>
      </c>
      <c r="K5" s="73">
        <f>(1+'Costs and Assumptions'!$C$12)^(K4-'Costs and Assumptions'!$G$14)</f>
        <v>1.2923216233131989</v>
      </c>
      <c r="L5" s="73">
        <f>(1+'Costs and Assumptions'!$C$12)^(L4-'Costs and Assumptions'!$G$14)</f>
        <v>1.320235770376764</v>
      </c>
      <c r="M5" s="73">
        <f>(1+'Costs and Assumptions'!$C$12)^(M4-'Costs and Assumptions'!$G$14)</f>
        <v>1.3487528630169021</v>
      </c>
      <c r="N5" s="73">
        <f>(1+'Costs and Assumptions'!$C$12)^(N4-'Costs and Assumptions'!$G$14)</f>
        <v>1.3778859248580675</v>
      </c>
      <c r="O5" s="73">
        <f>(1+'Costs and Assumptions'!$C$12)^(O4-'Costs and Assumptions'!$G$14)</f>
        <v>1.4076482608350018</v>
      </c>
      <c r="P5" s="73">
        <f>(1+'Costs and Assumptions'!$C$12)^(P4-'Costs and Assumptions'!$G$14)</f>
        <v>1.438053463269038</v>
      </c>
      <c r="Q5" s="73">
        <f>(1+'Costs and Assumptions'!$C$12)^(Q4-'Costs and Assumptions'!$G$14)</f>
        <v>1.4691154180756494</v>
      </c>
      <c r="R5" s="73">
        <f>(1+'Costs and Assumptions'!$C$12)^(R4-'Costs and Assumptions'!$G$14)</f>
        <v>1.5008483111060833</v>
      </c>
      <c r="S5" s="73">
        <f>(1+'Costs and Assumptions'!$C$12)^(S4-'Costs and Assumptions'!$G$14)</f>
        <v>1.5332666346259749</v>
      </c>
      <c r="T5" s="73">
        <f>(1+'Costs and Assumptions'!$C$12)^(T4-'Costs and Assumptions'!$G$14)</f>
        <v>1.566385193933896</v>
      </c>
      <c r="U5" s="73">
        <f>(1+'Costs and Assumptions'!$C$12)^(U4-'Costs and Assumptions'!$G$14)</f>
        <v>1.6002191141228681</v>
      </c>
      <c r="V5" s="73">
        <f>(1+'Costs and Assumptions'!$C$12)^(V4-'Costs and Assumptions'!$G$14)</f>
        <v>1.6347838469879223</v>
      </c>
      <c r="W5" s="73">
        <f>(1+'Costs and Assumptions'!$C$12)^(W4-'Costs and Assumptions'!$G$14)</f>
        <v>1.6700951780828617</v>
      </c>
      <c r="X5" s="73">
        <f>(1+'Costs and Assumptions'!$C$12)^(X4-'Costs and Assumptions'!$G$14)</f>
        <v>1.7061692339294514</v>
      </c>
      <c r="Y5" s="73">
        <f>(1+'Costs and Assumptions'!$C$12)^(Y4-'Costs and Assumptions'!$G$14)</f>
        <v>1.7430224893823278</v>
      </c>
      <c r="Z5" s="73">
        <f>(1+'Costs and Assumptions'!$C$12)^(Z4-'Costs and Assumptions'!$G$14)</f>
        <v>1.7806717751529861</v>
      </c>
      <c r="AA5" s="73">
        <f>(1+'Costs and Assumptions'!$C$12)^(AA4-'Costs and Assumptions'!$G$14)</f>
        <v>1.8191342854962909</v>
      </c>
      <c r="AB5" s="73">
        <f>(1+'Costs and Assumptions'!$C$12)^(AB4-'Costs and Assumptions'!$G$14)</f>
        <v>1.8584275860630106</v>
      </c>
      <c r="AC5" s="73">
        <f>(1+'Costs and Assumptions'!$C$12)^(AC4-'Costs and Assumptions'!$G$14)</f>
        <v>1.8985696219219717</v>
      </c>
      <c r="AD5" s="73">
        <f>(1+'Costs and Assumptions'!$C$12)^(AD4-'Costs and Assumptions'!$G$14)</f>
        <v>1.9395787257554866</v>
      </c>
      <c r="AE5" s="73">
        <f>(1+'Costs and Assumptions'!$C$12)^(AE4-'Costs and Assumptions'!$G$14)</f>
        <v>1.9814736262318053</v>
      </c>
      <c r="AF5" s="73">
        <f>(1+'Costs and Assumptions'!$C$12)^(AF4-'Costs and Assumptions'!$G$14)</f>
        <v>2.0242734565584124</v>
      </c>
      <c r="AG5" s="73">
        <f>(1+'Costs and Assumptions'!$C$12)^(AG4-'Costs and Assumptions'!$G$14)</f>
        <v>2.0679977632200743</v>
      </c>
    </row>
    <row r="6" spans="1:33" s="10" customFormat="1">
      <c r="C6" s="27"/>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row>
    <row r="7" spans="1:33" s="10" customFormat="1">
      <c r="B7" s="10" t="s">
        <v>189</v>
      </c>
      <c r="C7" s="27"/>
      <c r="D7" s="27">
        <v>0</v>
      </c>
      <c r="E7" s="27">
        <v>0</v>
      </c>
      <c r="F7" s="27">
        <v>0</v>
      </c>
      <c r="G7" s="27">
        <v>0</v>
      </c>
      <c r="H7" s="27">
        <v>0</v>
      </c>
      <c r="I7" s="27">
        <v>0</v>
      </c>
      <c r="J7" s="27">
        <v>0</v>
      </c>
      <c r="K7" s="27">
        <v>0</v>
      </c>
      <c r="L7" s="27">
        <v>0</v>
      </c>
      <c r="M7" s="27">
        <v>0</v>
      </c>
      <c r="N7" s="27">
        <v>0</v>
      </c>
      <c r="O7" s="27">
        <v>0</v>
      </c>
      <c r="P7" s="27">
        <v>0</v>
      </c>
      <c r="Q7" s="27">
        <v>0</v>
      </c>
      <c r="R7" s="27">
        <v>0</v>
      </c>
      <c r="S7" s="27">
        <v>0</v>
      </c>
      <c r="T7" s="27">
        <v>0</v>
      </c>
      <c r="U7" s="27">
        <v>0</v>
      </c>
      <c r="V7" s="27">
        <v>0</v>
      </c>
      <c r="W7" s="27">
        <v>0</v>
      </c>
      <c r="X7" s="27">
        <v>0</v>
      </c>
      <c r="Y7" s="27">
        <v>0</v>
      </c>
      <c r="Z7" s="27">
        <v>0</v>
      </c>
      <c r="AA7" s="27">
        <v>0</v>
      </c>
      <c r="AB7" s="27">
        <v>0</v>
      </c>
      <c r="AC7" s="27">
        <v>0</v>
      </c>
      <c r="AD7" s="27">
        <v>0</v>
      </c>
      <c r="AE7" s="27">
        <v>0</v>
      </c>
      <c r="AF7" s="27">
        <v>0</v>
      </c>
      <c r="AG7" s="27">
        <v>0</v>
      </c>
    </row>
    <row r="8" spans="1:33" s="10" customFormat="1">
      <c r="B8" s="10" t="s">
        <v>190</v>
      </c>
      <c r="C8" s="27"/>
      <c r="D8" s="27">
        <v>0</v>
      </c>
      <c r="E8" s="27">
        <v>0</v>
      </c>
      <c r="F8" s="27"/>
      <c r="G8" s="27"/>
      <c r="H8" s="27"/>
      <c r="I8" s="27"/>
      <c r="J8" s="27"/>
      <c r="K8" s="27">
        <v>0</v>
      </c>
      <c r="L8" s="27">
        <v>0</v>
      </c>
      <c r="M8" s="27"/>
      <c r="N8" s="27"/>
      <c r="O8" s="27"/>
      <c r="P8" s="27"/>
      <c r="Q8" s="27"/>
      <c r="R8" s="27">
        <v>0</v>
      </c>
      <c r="S8" s="27">
        <v>21</v>
      </c>
      <c r="T8" s="27"/>
      <c r="U8" s="27"/>
      <c r="V8" s="27"/>
      <c r="W8" s="27"/>
      <c r="X8" s="27"/>
      <c r="Y8" s="27"/>
      <c r="Z8" s="27">
        <v>21</v>
      </c>
      <c r="AA8" s="27"/>
      <c r="AB8" s="27"/>
      <c r="AC8" s="27"/>
      <c r="AD8" s="27"/>
      <c r="AE8" s="27"/>
      <c r="AF8" s="27"/>
      <c r="AG8" s="27"/>
    </row>
    <row r="9" spans="1:33" s="10" customFormat="1">
      <c r="B9" s="10" t="s">
        <v>191</v>
      </c>
      <c r="C9" s="27"/>
      <c r="D9" s="27">
        <v>0</v>
      </c>
      <c r="E9" s="27">
        <v>0</v>
      </c>
      <c r="F9" s="27">
        <v>0</v>
      </c>
      <c r="G9" s="27">
        <v>0</v>
      </c>
      <c r="H9" s="27">
        <v>0</v>
      </c>
      <c r="I9" s="27">
        <v>0</v>
      </c>
      <c r="J9" s="27">
        <v>0</v>
      </c>
      <c r="K9" s="27">
        <v>0</v>
      </c>
      <c r="L9" s="27">
        <v>0</v>
      </c>
      <c r="M9" s="27">
        <v>0</v>
      </c>
      <c r="N9" s="27">
        <v>0</v>
      </c>
      <c r="O9" s="27">
        <v>0</v>
      </c>
      <c r="P9" s="27"/>
      <c r="Q9" s="27"/>
      <c r="R9" s="27"/>
      <c r="S9" s="27"/>
      <c r="T9" s="27"/>
      <c r="U9" s="27"/>
      <c r="V9" s="27"/>
      <c r="W9" s="27"/>
      <c r="X9" s="27"/>
      <c r="Y9" s="27"/>
      <c r="Z9" s="27"/>
      <c r="AA9" s="27"/>
      <c r="AB9" s="27"/>
      <c r="AC9" s="27"/>
      <c r="AD9" s="27"/>
      <c r="AE9" s="27"/>
      <c r="AF9" s="27"/>
      <c r="AG9" s="27"/>
    </row>
    <row r="10" spans="1:33" s="67" customFormat="1">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row>
    <row r="11" spans="1:33" s="10" customFormat="1">
      <c r="B11" s="10" t="s">
        <v>155</v>
      </c>
      <c r="C11" s="27"/>
      <c r="D11" s="27">
        <f>D7</f>
        <v>0</v>
      </c>
      <c r="E11" s="27">
        <f>D11+E7</f>
        <v>0</v>
      </c>
      <c r="F11" s="27">
        <f t="shared" ref="F11:AG11" si="0">E11+F7</f>
        <v>0</v>
      </c>
      <c r="G11" s="27">
        <f t="shared" si="0"/>
        <v>0</v>
      </c>
      <c r="H11" s="27">
        <f t="shared" si="0"/>
        <v>0</v>
      </c>
      <c r="I11" s="27">
        <f t="shared" si="0"/>
        <v>0</v>
      </c>
      <c r="J11" s="27">
        <f t="shared" si="0"/>
        <v>0</v>
      </c>
      <c r="K11" s="27">
        <f t="shared" si="0"/>
        <v>0</v>
      </c>
      <c r="L11" s="27">
        <f t="shared" si="0"/>
        <v>0</v>
      </c>
      <c r="M11" s="27">
        <f t="shared" si="0"/>
        <v>0</v>
      </c>
      <c r="N11" s="27">
        <f t="shared" si="0"/>
        <v>0</v>
      </c>
      <c r="O11" s="27">
        <f t="shared" si="0"/>
        <v>0</v>
      </c>
      <c r="P11" s="27">
        <f t="shared" si="0"/>
        <v>0</v>
      </c>
      <c r="Q11" s="27">
        <f t="shared" si="0"/>
        <v>0</v>
      </c>
      <c r="R11" s="27">
        <f t="shared" si="0"/>
        <v>0</v>
      </c>
      <c r="S11" s="27">
        <f t="shared" si="0"/>
        <v>0</v>
      </c>
      <c r="T11" s="27">
        <f t="shared" si="0"/>
        <v>0</v>
      </c>
      <c r="U11" s="27">
        <f t="shared" si="0"/>
        <v>0</v>
      </c>
      <c r="V11" s="27">
        <f t="shared" si="0"/>
        <v>0</v>
      </c>
      <c r="W11" s="27">
        <f t="shared" si="0"/>
        <v>0</v>
      </c>
      <c r="X11" s="27">
        <f t="shared" si="0"/>
        <v>0</v>
      </c>
      <c r="Y11" s="27">
        <f t="shared" si="0"/>
        <v>0</v>
      </c>
      <c r="Z11" s="27">
        <f t="shared" si="0"/>
        <v>0</v>
      </c>
      <c r="AA11" s="27">
        <f t="shared" si="0"/>
        <v>0</v>
      </c>
      <c r="AB11" s="27">
        <f t="shared" si="0"/>
        <v>0</v>
      </c>
      <c r="AC11" s="27">
        <f t="shared" si="0"/>
        <v>0</v>
      </c>
      <c r="AD11" s="27">
        <f t="shared" si="0"/>
        <v>0</v>
      </c>
      <c r="AE11" s="27">
        <f t="shared" si="0"/>
        <v>0</v>
      </c>
      <c r="AF11" s="27">
        <f t="shared" si="0"/>
        <v>0</v>
      </c>
      <c r="AG11" s="27">
        <f t="shared" si="0"/>
        <v>0</v>
      </c>
    </row>
    <row r="12" spans="1:33" s="10" customFormat="1">
      <c r="B12" s="10" t="s">
        <v>156</v>
      </c>
      <c r="C12" s="27"/>
      <c r="D12" s="27">
        <v>32</v>
      </c>
      <c r="E12" s="27">
        <f>(D12+D11)-E11</f>
        <v>32</v>
      </c>
      <c r="F12" s="27">
        <f t="shared" ref="F12:AG12" si="1">(E12+E11)-F11</f>
        <v>32</v>
      </c>
      <c r="G12" s="27">
        <f t="shared" si="1"/>
        <v>32</v>
      </c>
      <c r="H12" s="27">
        <f t="shared" si="1"/>
        <v>32</v>
      </c>
      <c r="I12" s="27">
        <f t="shared" si="1"/>
        <v>32</v>
      </c>
      <c r="J12" s="27">
        <f t="shared" si="1"/>
        <v>32</v>
      </c>
      <c r="K12" s="27">
        <f t="shared" si="1"/>
        <v>32</v>
      </c>
      <c r="L12" s="27">
        <f t="shared" si="1"/>
        <v>32</v>
      </c>
      <c r="M12" s="27">
        <f t="shared" si="1"/>
        <v>32</v>
      </c>
      <c r="N12" s="27">
        <f t="shared" si="1"/>
        <v>32</v>
      </c>
      <c r="O12" s="27">
        <f t="shared" si="1"/>
        <v>32</v>
      </c>
      <c r="P12" s="27">
        <f t="shared" si="1"/>
        <v>32</v>
      </c>
      <c r="Q12" s="27">
        <f t="shared" si="1"/>
        <v>32</v>
      </c>
      <c r="R12" s="27">
        <f t="shared" si="1"/>
        <v>32</v>
      </c>
      <c r="S12" s="27">
        <f t="shared" si="1"/>
        <v>32</v>
      </c>
      <c r="T12" s="27">
        <f t="shared" si="1"/>
        <v>32</v>
      </c>
      <c r="U12" s="27">
        <f t="shared" si="1"/>
        <v>32</v>
      </c>
      <c r="V12" s="27">
        <f t="shared" si="1"/>
        <v>32</v>
      </c>
      <c r="W12" s="27">
        <f t="shared" si="1"/>
        <v>32</v>
      </c>
      <c r="X12" s="27">
        <f t="shared" si="1"/>
        <v>32</v>
      </c>
      <c r="Y12" s="27">
        <f t="shared" si="1"/>
        <v>32</v>
      </c>
      <c r="Z12" s="27">
        <f t="shared" si="1"/>
        <v>32</v>
      </c>
      <c r="AA12" s="27">
        <f t="shared" si="1"/>
        <v>32</v>
      </c>
      <c r="AB12" s="27">
        <f t="shared" si="1"/>
        <v>32</v>
      </c>
      <c r="AC12" s="27">
        <f t="shared" si="1"/>
        <v>32</v>
      </c>
      <c r="AD12" s="27">
        <f t="shared" si="1"/>
        <v>32</v>
      </c>
      <c r="AE12" s="27">
        <f t="shared" si="1"/>
        <v>32</v>
      </c>
      <c r="AF12" s="27">
        <f t="shared" si="1"/>
        <v>32</v>
      </c>
      <c r="AG12" s="27">
        <f t="shared" si="1"/>
        <v>32</v>
      </c>
    </row>
    <row r="13" spans="1:33" s="10" customFormat="1">
      <c r="B13" s="10" t="s">
        <v>192</v>
      </c>
      <c r="C13" s="27"/>
      <c r="D13" s="27">
        <v>10</v>
      </c>
      <c r="E13" s="27">
        <v>10</v>
      </c>
      <c r="F13" s="27">
        <v>10</v>
      </c>
      <c r="G13" s="27">
        <v>10</v>
      </c>
      <c r="H13" s="27">
        <v>10</v>
      </c>
      <c r="I13" s="27">
        <v>10</v>
      </c>
      <c r="J13" s="27">
        <v>10</v>
      </c>
      <c r="K13" s="27">
        <v>10</v>
      </c>
      <c r="L13" s="27">
        <v>10</v>
      </c>
      <c r="M13" s="27">
        <v>10</v>
      </c>
      <c r="N13" s="27">
        <v>10</v>
      </c>
      <c r="O13" s="27">
        <v>10</v>
      </c>
      <c r="P13" s="27">
        <v>10</v>
      </c>
      <c r="Q13" s="27">
        <v>10</v>
      </c>
      <c r="R13" s="27">
        <v>10</v>
      </c>
      <c r="S13" s="27">
        <v>10</v>
      </c>
      <c r="T13" s="27">
        <v>10</v>
      </c>
      <c r="U13" s="27">
        <v>10</v>
      </c>
      <c r="V13" s="27">
        <v>10</v>
      </c>
      <c r="W13" s="27">
        <v>10</v>
      </c>
      <c r="X13" s="27">
        <v>10</v>
      </c>
      <c r="Y13" s="27">
        <v>10</v>
      </c>
      <c r="Z13" s="27">
        <v>10</v>
      </c>
      <c r="AA13" s="27">
        <v>10</v>
      </c>
      <c r="AB13" s="27">
        <v>10</v>
      </c>
      <c r="AC13" s="27">
        <v>10</v>
      </c>
      <c r="AD13" s="27">
        <v>10</v>
      </c>
      <c r="AE13" s="27">
        <v>10</v>
      </c>
      <c r="AF13" s="27">
        <v>10</v>
      </c>
      <c r="AG13" s="27">
        <v>10</v>
      </c>
    </row>
    <row r="14" spans="1:33">
      <c r="B14" s="3"/>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s="8" customFormat="1" ht="15" customHeight="1">
      <c r="A15" s="166" t="s">
        <v>157</v>
      </c>
      <c r="B15" s="8" t="s">
        <v>158</v>
      </c>
      <c r="C15" s="20">
        <f>(1+'Costs and Assumptions'!$C$22)^(C4-'Costs and Assumptions'!$G$14)</f>
        <v>1.08243216</v>
      </c>
      <c r="D15" s="20">
        <f>(1+'Costs and Assumptions'!$C$22)^(D4-'Costs and Assumptions'!$G$14)</f>
        <v>1.1040808032</v>
      </c>
      <c r="E15" s="20">
        <f>(1+'Costs and Assumptions'!$C$22)^(E4-'Costs and Assumptions'!$G$14)</f>
        <v>1.1261624192640001</v>
      </c>
      <c r="F15" s="20">
        <f>(1+'Costs and Assumptions'!$C$22)^(F4-'Costs and Assumptions'!$G$14)</f>
        <v>1.1486856676492798</v>
      </c>
      <c r="G15" s="20">
        <f>(1+'Costs and Assumptions'!$C$22)^(G4-'Costs and Assumptions'!$G$14)</f>
        <v>1.1716593810022655</v>
      </c>
      <c r="H15" s="20">
        <f>(1+'Costs and Assumptions'!$C$22)^(H4-'Costs and Assumptions'!$G$14)</f>
        <v>1.1950925686223108</v>
      </c>
      <c r="I15" s="20">
        <f>(1+'Costs and Assumptions'!$C$22)^(I4-'Costs and Assumptions'!$G$14)</f>
        <v>1.2189944199947571</v>
      </c>
      <c r="J15" s="20">
        <f>(1+'Costs and Assumptions'!$C$22)^(J4-'Costs and Assumptions'!$G$14)</f>
        <v>1.243374308394652</v>
      </c>
      <c r="K15" s="20">
        <f>(1+'Costs and Assumptions'!$C$22)^(K4-'Costs and Assumptions'!$G$14)</f>
        <v>1.2682417945625453</v>
      </c>
      <c r="L15" s="20">
        <f>(1+'Costs and Assumptions'!$C$22)^(L4-'Costs and Assumptions'!$G$14)</f>
        <v>1.2936066304537961</v>
      </c>
      <c r="M15" s="20">
        <f>(1+'Costs and Assumptions'!$C$22)^(M4-'Costs and Assumptions'!$G$14)</f>
        <v>1.3194787630628722</v>
      </c>
      <c r="N15" s="20">
        <f>(1+'Costs and Assumptions'!$C$22)^(N4-'Costs and Assumptions'!$G$14)</f>
        <v>1.3458683383241292</v>
      </c>
      <c r="O15" s="20">
        <f>(1+'Costs and Assumptions'!$C$22)^(O4-'Costs and Assumptions'!$G$14)</f>
        <v>1.372785705090612</v>
      </c>
      <c r="P15" s="20">
        <f>(1+'Costs and Assumptions'!$C$22)^(P4-'Costs and Assumptions'!$G$14)</f>
        <v>1.4002414191924244</v>
      </c>
      <c r="Q15" s="20">
        <f>(1+'Costs and Assumptions'!$C$22)^(Q4-'Costs and Assumptions'!$G$14)</f>
        <v>1.4282462475762727</v>
      </c>
      <c r="R15" s="20">
        <f>(1+'Costs and Assumptions'!$C$22)^(R4-'Costs and Assumptions'!$G$14)</f>
        <v>1.4568111725277981</v>
      </c>
      <c r="S15" s="20">
        <f>(1+'Costs and Assumptions'!$C$22)^(S4-'Costs and Assumptions'!$G$14)</f>
        <v>1.4859473959783542</v>
      </c>
      <c r="T15" s="20">
        <f>(1+'Costs and Assumptions'!$C$22)^(T4-'Costs and Assumptions'!$G$14)</f>
        <v>1.5156663438979212</v>
      </c>
      <c r="U15" s="20">
        <f>(1+'Costs and Assumptions'!$C$22)^(U4-'Costs and Assumptions'!$G$14)</f>
        <v>1.5459796707758797</v>
      </c>
      <c r="V15" s="20">
        <f>(1+'Costs and Assumptions'!$C$22)^(V4-'Costs and Assumptions'!$G$14)</f>
        <v>1.576899264191397</v>
      </c>
      <c r="W15" s="20">
        <f>(1+'Costs and Assumptions'!$C$22)^(W4-'Costs and Assumptions'!$G$14)</f>
        <v>1.608437249475225</v>
      </c>
      <c r="X15" s="20">
        <f>(1+'Costs and Assumptions'!$C$22)^(X4-'Costs and Assumptions'!$G$14)</f>
        <v>1.6406059944647295</v>
      </c>
      <c r="Y15" s="20">
        <f>(1+'Costs and Assumptions'!$C$22)^(Y4-'Costs and Assumptions'!$G$14)</f>
        <v>1.6734181143540243</v>
      </c>
      <c r="Z15" s="20">
        <f>(1+'Costs and Assumptions'!$C$22)^(Z4-'Costs and Assumptions'!$G$14)</f>
        <v>1.7068864766411045</v>
      </c>
      <c r="AA15" s="20">
        <f>(1+'Costs and Assumptions'!$C$22)^(AA4-'Costs and Assumptions'!$G$14)</f>
        <v>1.7410242061739269</v>
      </c>
      <c r="AB15" s="20">
        <f>(1+'Costs and Assumptions'!$C$22)^(AB4-'Costs and Assumptions'!$G$14)</f>
        <v>1.7758446902974052</v>
      </c>
      <c r="AC15" s="20">
        <f>(1+'Costs and Assumptions'!$C$22)^(AC4-'Costs and Assumptions'!$G$14)</f>
        <v>1.8113615841033535</v>
      </c>
      <c r="AD15" s="20">
        <f>(1+'Costs and Assumptions'!$C$22)^(AD4-'Costs and Assumptions'!$G$14)</f>
        <v>1.8475888157854201</v>
      </c>
      <c r="AE15" s="20">
        <f>(1+'Costs and Assumptions'!$C$22)^(AE4-'Costs and Assumptions'!$G$14)</f>
        <v>1.8845405921011289</v>
      </c>
      <c r="AF15" s="20">
        <f>(1+'Costs and Assumptions'!$C$22)^(AF4-'Costs and Assumptions'!$G$14)</f>
        <v>1.9222314039431516</v>
      </c>
      <c r="AG15" s="20">
        <f>(1+'Costs and Assumptions'!$C$22)^(AG4-'Costs and Assumptions'!$G$14)</f>
        <v>1.9606760320220145</v>
      </c>
    </row>
    <row r="16" spans="1:33" s="8" customFormat="1">
      <c r="A16" s="166"/>
      <c r="B16" s="7" t="s">
        <v>159</v>
      </c>
      <c r="C16" s="9"/>
      <c r="D16" s="51">
        <f>D11*'Costs and Assumptions'!$F$21*D15</f>
        <v>0</v>
      </c>
      <c r="E16" s="51">
        <f>E11*'Costs and Assumptions'!$F$21*E15</f>
        <v>0</v>
      </c>
      <c r="F16" s="51">
        <f>F11*'Costs and Assumptions'!$F$21*F15</f>
        <v>0</v>
      </c>
      <c r="G16" s="51">
        <f>G11*'Costs and Assumptions'!$F$21*G15</f>
        <v>0</v>
      </c>
      <c r="H16" s="51">
        <f>H11*'Costs and Assumptions'!$F$21*H15</f>
        <v>0</v>
      </c>
      <c r="I16" s="51">
        <f>I11*'Costs and Assumptions'!$F$21*I15</f>
        <v>0</v>
      </c>
      <c r="J16" s="51">
        <f>J11*'Costs and Assumptions'!$F$21*J15</f>
        <v>0</v>
      </c>
      <c r="K16" s="51">
        <f>K11*'Costs and Assumptions'!$F$21*K15</f>
        <v>0</v>
      </c>
      <c r="L16" s="51">
        <f>L11*'Costs and Assumptions'!$F$21*L15</f>
        <v>0</v>
      </c>
      <c r="M16" s="51">
        <f>M11*'Costs and Assumptions'!$F$21*M15</f>
        <v>0</v>
      </c>
      <c r="N16" s="51">
        <f>N11*'Costs and Assumptions'!$F$21*N15</f>
        <v>0</v>
      </c>
      <c r="O16" s="51">
        <f>O11*'Costs and Assumptions'!$F$21*O15</f>
        <v>0</v>
      </c>
      <c r="P16" s="51">
        <f>P11*'Costs and Assumptions'!$F$21*P15</f>
        <v>0</v>
      </c>
      <c r="Q16" s="51">
        <f>Q11*'Costs and Assumptions'!$F$21*Q15</f>
        <v>0</v>
      </c>
      <c r="R16" s="51">
        <f>R11*'Costs and Assumptions'!$F$21*R15</f>
        <v>0</v>
      </c>
      <c r="S16" s="51">
        <f>S11*'Costs and Assumptions'!$F$21*S15</f>
        <v>0</v>
      </c>
      <c r="T16" s="51">
        <f>T11*'Costs and Assumptions'!$F$21*T15</f>
        <v>0</v>
      </c>
      <c r="U16" s="51">
        <f>U11*'Costs and Assumptions'!$F$21*U15</f>
        <v>0</v>
      </c>
      <c r="V16" s="51">
        <f>V11*'Costs and Assumptions'!$F$21*V15</f>
        <v>0</v>
      </c>
      <c r="W16" s="51">
        <f>W11*'Costs and Assumptions'!$F$21*W15</f>
        <v>0</v>
      </c>
      <c r="X16" s="51">
        <f>X11*'Costs and Assumptions'!$F$21*X15</f>
        <v>0</v>
      </c>
      <c r="Y16" s="51">
        <f>Y11*'Costs and Assumptions'!$F$21*Y15</f>
        <v>0</v>
      </c>
      <c r="Z16" s="51">
        <f>Z11*'Costs and Assumptions'!$F$21*Z15</f>
        <v>0</v>
      </c>
      <c r="AA16" s="51">
        <f>AA11*'Costs and Assumptions'!$F$21*AA15</f>
        <v>0</v>
      </c>
      <c r="AB16" s="51">
        <f>AB11*'Costs and Assumptions'!$F$21*AB15</f>
        <v>0</v>
      </c>
      <c r="AC16" s="51">
        <f>AC11*'Costs and Assumptions'!$F$21*AC15</f>
        <v>0</v>
      </c>
      <c r="AD16" s="51">
        <f>AD11*'Costs and Assumptions'!$F$21*AD15</f>
        <v>0</v>
      </c>
      <c r="AE16" s="51">
        <f>AE11*'Costs and Assumptions'!$F$21*AE15</f>
        <v>0</v>
      </c>
      <c r="AF16" s="51">
        <f>AF11*'Costs and Assumptions'!$F$21*AF15</f>
        <v>0</v>
      </c>
      <c r="AG16" s="51">
        <f>AG11*'Costs and Assumptions'!$F$21*AG15</f>
        <v>0</v>
      </c>
    </row>
    <row r="17" spans="1:33" s="8" customFormat="1">
      <c r="A17" s="166"/>
      <c r="B17" s="7" t="s">
        <v>160</v>
      </c>
      <c r="C17" s="20">
        <f>(1+'Costs and Assumptions'!$C$38)^(C4-'Costs and Assumptions'!$G$14)</f>
        <v>1.0040060040009995</v>
      </c>
      <c r="D17" s="20">
        <f>(1+'Costs and Assumptions'!$C$38)^(D4-'Costs and Assumptions'!$G$14)</f>
        <v>1.0050100100050003</v>
      </c>
      <c r="E17" s="20">
        <f>(1+'Costs and Assumptions'!$C$38)^(E4-'Costs and Assumptions'!$G$14)</f>
        <v>1.0060150200150051</v>
      </c>
      <c r="F17" s="20">
        <f>(1+'Costs and Assumptions'!$C$38)^(F4-'Costs and Assumptions'!$G$14)</f>
        <v>1.0070210350350199</v>
      </c>
      <c r="G17" s="20">
        <f>(1+'Costs and Assumptions'!$C$38)^(G4-'Costs and Assumptions'!$G$14)</f>
        <v>1.008028056070055</v>
      </c>
      <c r="H17" s="20">
        <f>(1+'Costs and Assumptions'!$C$38)^(H4-'Costs and Assumptions'!$G$14)</f>
        <v>1.009036084126125</v>
      </c>
      <c r="I17" s="20">
        <f>(1+'Costs and Assumptions'!$C$38)^(I4-'Costs and Assumptions'!$G$14)</f>
        <v>1.0100451202102509</v>
      </c>
      <c r="J17" s="20">
        <f>(1+'Costs and Assumptions'!$C$38)^(J4-'Costs and Assumptions'!$G$14)</f>
        <v>1.0110551653304609</v>
      </c>
      <c r="K17" s="20">
        <f>(1+'Costs and Assumptions'!$C$38)^(K4-'Costs and Assumptions'!$G$14)</f>
        <v>1.0120662204957913</v>
      </c>
      <c r="L17" s="20">
        <f>(1+'Costs and Assumptions'!$C$38)^(L4-'Costs and Assumptions'!$G$14)</f>
        <v>1.0130782867162871</v>
      </c>
      <c r="M17" s="20">
        <f>(1+'Costs and Assumptions'!$C$38)^(M4-'Costs and Assumptions'!$G$14)</f>
        <v>1.014091365003003</v>
      </c>
      <c r="N17" s="20">
        <f>(1+'Costs and Assumptions'!$C$38)^(N4-'Costs and Assumptions'!$G$14)</f>
        <v>1.015105456368006</v>
      </c>
      <c r="O17" s="20">
        <f>(1+'Costs and Assumptions'!$C$38)^(O4-'Costs and Assumptions'!$G$14)</f>
        <v>1.0161205618243738</v>
      </c>
      <c r="P17" s="20">
        <f>(1+'Costs and Assumptions'!$C$38)^(P4-'Costs and Assumptions'!$G$14)</f>
        <v>1.017136682386198</v>
      </c>
      <c r="Q17" s="20">
        <f>(1+'Costs and Assumptions'!$C$38)^(Q4-'Costs and Assumptions'!$G$14)</f>
        <v>1.0181538190685842</v>
      </c>
      <c r="R17" s="20">
        <f>(1+'Costs and Assumptions'!$C$38)^(R4-'Costs and Assumptions'!$G$14)</f>
        <v>1.0191719728876525</v>
      </c>
      <c r="S17" s="20">
        <f>(1+'Costs and Assumptions'!$C$38)^(S4-'Costs and Assumptions'!$G$14)</f>
        <v>1.0201911448605401</v>
      </c>
      <c r="T17" s="20">
        <f>(1+'Costs and Assumptions'!$C$38)^(T4-'Costs and Assumptions'!$G$14)</f>
        <v>1.0212113360054005</v>
      </c>
      <c r="U17" s="20">
        <f>(1+'Costs and Assumptions'!$C$38)^(U4-'Costs and Assumptions'!$G$14)</f>
        <v>1.0222325473414056</v>
      </c>
      <c r="V17" s="20">
        <f>(1+'Costs and Assumptions'!$C$38)^(V4-'Costs and Assumptions'!$G$14)</f>
        <v>1.0232547798887468</v>
      </c>
      <c r="W17" s="20">
        <f>(1+'Costs and Assumptions'!$C$38)^(W4-'Costs and Assumptions'!$G$14)</f>
        <v>1.0242780346686358</v>
      </c>
      <c r="X17" s="20">
        <f>(1+'Costs and Assumptions'!$C$38)^(X4-'Costs and Assumptions'!$G$14)</f>
        <v>1.0253023127033043</v>
      </c>
      <c r="Y17" s="20">
        <f>(1+'Costs and Assumptions'!$C$38)^(Y4-'Costs and Assumptions'!$G$14)</f>
        <v>1.0263276150160074</v>
      </c>
      <c r="Z17" s="20">
        <f>(1+'Costs and Assumptions'!$C$38)^(Z4-'Costs and Assumptions'!$G$14)</f>
        <v>1.0273539426310232</v>
      </c>
      <c r="AA17" s="20">
        <f>(1+'Costs and Assumptions'!$C$38)^(AA4-'Costs and Assumptions'!$G$14)</f>
        <v>1.0283812965736541</v>
      </c>
      <c r="AB17" s="20">
        <f>(1+'Costs and Assumptions'!$C$38)^(AB4-'Costs and Assumptions'!$G$14)</f>
        <v>1.0294096778702277</v>
      </c>
      <c r="AC17" s="20">
        <f>(1+'Costs and Assumptions'!$C$38)^(AC4-'Costs and Assumptions'!$G$14)</f>
        <v>1.0304390875480975</v>
      </c>
      <c r="AD17" s="20">
        <f>(1+'Costs and Assumptions'!$C$38)^(AD4-'Costs and Assumptions'!$G$14)</f>
        <v>1.0314695266356457</v>
      </c>
      <c r="AE17" s="20">
        <f>(1+'Costs and Assumptions'!$C$38)^(AE4-'Costs and Assumptions'!$G$14)</f>
        <v>1.0325009961622811</v>
      </c>
      <c r="AF17" s="20">
        <f>(1+'Costs and Assumptions'!$C$38)^(AF4-'Costs and Assumptions'!$G$14)</f>
        <v>1.0335334971584433</v>
      </c>
      <c r="AG17" s="20">
        <f>(1+'Costs and Assumptions'!$C$38)^(AG4-'Costs and Assumptions'!$G$14)</f>
        <v>1.0345670306556014</v>
      </c>
    </row>
    <row r="18" spans="1:33" s="8" customFormat="1">
      <c r="A18" s="166"/>
      <c r="B18" s="7" t="s">
        <v>161</v>
      </c>
      <c r="C18" s="9"/>
      <c r="D18" s="51">
        <f>D17*'Costs and Assumptions'!$G$37*('No Purchase Scenario'!D11/('No Purchase Scenario'!D11+'No Purchase Scenario'!D12))</f>
        <v>0</v>
      </c>
      <c r="E18" s="51">
        <f>E17*'Costs and Assumptions'!$G$37*('No Purchase Scenario'!E11/('No Purchase Scenario'!E11+'No Purchase Scenario'!E12))</f>
        <v>0</v>
      </c>
      <c r="F18" s="51">
        <f>F17*'Costs and Assumptions'!$G$37*('No Purchase Scenario'!F11/('No Purchase Scenario'!F11+'No Purchase Scenario'!F12))</f>
        <v>0</v>
      </c>
      <c r="G18" s="51">
        <f>G17*'Costs and Assumptions'!$G$37*('No Purchase Scenario'!G11/('No Purchase Scenario'!G11+'No Purchase Scenario'!G12))</f>
        <v>0</v>
      </c>
      <c r="H18" s="51">
        <f>H17*'Costs and Assumptions'!$G$37*('No Purchase Scenario'!H11/('No Purchase Scenario'!H11+'No Purchase Scenario'!H12))</f>
        <v>0</v>
      </c>
      <c r="I18" s="51">
        <f>I17*'Costs and Assumptions'!$G$37*('No Purchase Scenario'!I11/('No Purchase Scenario'!I11+'No Purchase Scenario'!I12))</f>
        <v>0</v>
      </c>
      <c r="J18" s="51">
        <f>J17*'Costs and Assumptions'!$G$37*('No Purchase Scenario'!J11/('No Purchase Scenario'!J11+'No Purchase Scenario'!J12))</f>
        <v>0</v>
      </c>
      <c r="K18" s="51">
        <f>K17*'Costs and Assumptions'!$G$37*('No Purchase Scenario'!K11/('No Purchase Scenario'!K11+'No Purchase Scenario'!K12))</f>
        <v>0</v>
      </c>
      <c r="L18" s="51">
        <f>L17*'Costs and Assumptions'!$G$37*('No Purchase Scenario'!L11/('No Purchase Scenario'!L11+'No Purchase Scenario'!L12))</f>
        <v>0</v>
      </c>
      <c r="M18" s="51">
        <f>M17*'Costs and Assumptions'!$G$37*('No Purchase Scenario'!M11/('No Purchase Scenario'!M11+'No Purchase Scenario'!M12))</f>
        <v>0</v>
      </c>
      <c r="N18" s="51">
        <f>N17*'Costs and Assumptions'!$G$37*('No Purchase Scenario'!N11/('No Purchase Scenario'!N11+'No Purchase Scenario'!N12))</f>
        <v>0</v>
      </c>
      <c r="O18" s="51">
        <f>O17*'Costs and Assumptions'!$G$37*('No Purchase Scenario'!O11/('No Purchase Scenario'!O11+'No Purchase Scenario'!O12))</f>
        <v>0</v>
      </c>
      <c r="P18" s="51">
        <f>P17*'Costs and Assumptions'!$G$37*('No Purchase Scenario'!P11/('No Purchase Scenario'!P11+'No Purchase Scenario'!P12))</f>
        <v>0</v>
      </c>
      <c r="Q18" s="51">
        <f>Q17*'Costs and Assumptions'!$G$37*('No Purchase Scenario'!Q11/('No Purchase Scenario'!Q11+'No Purchase Scenario'!Q12))</f>
        <v>0</v>
      </c>
      <c r="R18" s="51">
        <f>R17*'Costs and Assumptions'!$G$37*('No Purchase Scenario'!R11/('No Purchase Scenario'!R11+'No Purchase Scenario'!R12))</f>
        <v>0</v>
      </c>
      <c r="S18" s="51">
        <f>S17*'Costs and Assumptions'!$G$37*('No Purchase Scenario'!S11/('No Purchase Scenario'!S11+'No Purchase Scenario'!S12))</f>
        <v>0</v>
      </c>
      <c r="T18" s="51">
        <f>T17*'Costs and Assumptions'!$G$37*('No Purchase Scenario'!T11/('No Purchase Scenario'!T11+'No Purchase Scenario'!T12))</f>
        <v>0</v>
      </c>
      <c r="U18" s="51">
        <f>U17*'Costs and Assumptions'!$G$37*('No Purchase Scenario'!U11/('No Purchase Scenario'!U11+'No Purchase Scenario'!U12))</f>
        <v>0</v>
      </c>
      <c r="V18" s="51">
        <f>V17*'Costs and Assumptions'!$G$37*('No Purchase Scenario'!V11/('No Purchase Scenario'!V11+'No Purchase Scenario'!V12))</f>
        <v>0</v>
      </c>
      <c r="W18" s="51">
        <f>W17*'Costs and Assumptions'!$G$37*('No Purchase Scenario'!W11/('No Purchase Scenario'!W11+'No Purchase Scenario'!W12))</f>
        <v>0</v>
      </c>
      <c r="X18" s="51">
        <f>X17*'Costs and Assumptions'!$G$37*('No Purchase Scenario'!X11/('No Purchase Scenario'!X11+'No Purchase Scenario'!X12))</f>
        <v>0</v>
      </c>
      <c r="Y18" s="51">
        <f>Y17*'Costs and Assumptions'!$G$37*('No Purchase Scenario'!Y11/('No Purchase Scenario'!Y11+'No Purchase Scenario'!Y12))</f>
        <v>0</v>
      </c>
      <c r="Z18" s="51">
        <f>Z17*'Costs and Assumptions'!$G$37*('No Purchase Scenario'!Z11/('No Purchase Scenario'!Z11+'No Purchase Scenario'!Z12))</f>
        <v>0</v>
      </c>
      <c r="AA18" s="51">
        <f>AA17*'Costs and Assumptions'!$G$37*('No Purchase Scenario'!AA11/('No Purchase Scenario'!AA11+'No Purchase Scenario'!AA12))</f>
        <v>0</v>
      </c>
      <c r="AB18" s="51">
        <f>AB17*'Costs and Assumptions'!$G$37*('No Purchase Scenario'!AB11/('No Purchase Scenario'!AB11+'No Purchase Scenario'!AB12))</f>
        <v>0</v>
      </c>
      <c r="AC18" s="51">
        <f>AC17*'Costs and Assumptions'!$G$37*('No Purchase Scenario'!AC11/('No Purchase Scenario'!AC11+'No Purchase Scenario'!AC12))</f>
        <v>0</v>
      </c>
      <c r="AD18" s="51">
        <f>AD17*'Costs and Assumptions'!$G$37*('No Purchase Scenario'!AD11/('No Purchase Scenario'!AD11+'No Purchase Scenario'!AD12))</f>
        <v>0</v>
      </c>
      <c r="AE18" s="51">
        <f>AE17*'Costs and Assumptions'!$G$37*('No Purchase Scenario'!AE11/('No Purchase Scenario'!AE11+'No Purchase Scenario'!AE12))</f>
        <v>0</v>
      </c>
      <c r="AF18" s="51">
        <f>AF17*'Costs and Assumptions'!$G$37*('No Purchase Scenario'!AF11/('No Purchase Scenario'!AF11+'No Purchase Scenario'!AF12))</f>
        <v>0</v>
      </c>
      <c r="AG18" s="51">
        <f>AG17*'Costs and Assumptions'!$G$37*('No Purchase Scenario'!AG11/('No Purchase Scenario'!AG11+'No Purchase Scenario'!AG12))</f>
        <v>0</v>
      </c>
    </row>
    <row r="19" spans="1:33" s="55" customFormat="1">
      <c r="A19" s="54"/>
      <c r="B19" s="55" t="s">
        <v>162</v>
      </c>
      <c r="C19" s="56"/>
      <c r="D19" s="57">
        <f t="shared" ref="D19:AG19" si="2">D16+D18</f>
        <v>0</v>
      </c>
      <c r="E19" s="57">
        <f t="shared" si="2"/>
        <v>0</v>
      </c>
      <c r="F19" s="57">
        <f t="shared" si="2"/>
        <v>0</v>
      </c>
      <c r="G19" s="57">
        <f t="shared" si="2"/>
        <v>0</v>
      </c>
      <c r="H19" s="57">
        <f t="shared" si="2"/>
        <v>0</v>
      </c>
      <c r="I19" s="57">
        <f t="shared" si="2"/>
        <v>0</v>
      </c>
      <c r="J19" s="57">
        <f t="shared" si="2"/>
        <v>0</v>
      </c>
      <c r="K19" s="57">
        <f t="shared" si="2"/>
        <v>0</v>
      </c>
      <c r="L19" s="57">
        <f t="shared" si="2"/>
        <v>0</v>
      </c>
      <c r="M19" s="57">
        <f t="shared" si="2"/>
        <v>0</v>
      </c>
      <c r="N19" s="57">
        <f t="shared" si="2"/>
        <v>0</v>
      </c>
      <c r="O19" s="57">
        <f t="shared" si="2"/>
        <v>0</v>
      </c>
      <c r="P19" s="57">
        <f t="shared" si="2"/>
        <v>0</v>
      </c>
      <c r="Q19" s="57">
        <f t="shared" si="2"/>
        <v>0</v>
      </c>
      <c r="R19" s="57">
        <f t="shared" si="2"/>
        <v>0</v>
      </c>
      <c r="S19" s="57">
        <f t="shared" si="2"/>
        <v>0</v>
      </c>
      <c r="T19" s="57">
        <f t="shared" si="2"/>
        <v>0</v>
      </c>
      <c r="U19" s="57">
        <f t="shared" si="2"/>
        <v>0</v>
      </c>
      <c r="V19" s="57">
        <f t="shared" si="2"/>
        <v>0</v>
      </c>
      <c r="W19" s="57">
        <f t="shared" si="2"/>
        <v>0</v>
      </c>
      <c r="X19" s="57">
        <f t="shared" si="2"/>
        <v>0</v>
      </c>
      <c r="Y19" s="57">
        <f t="shared" si="2"/>
        <v>0</v>
      </c>
      <c r="Z19" s="57">
        <f t="shared" si="2"/>
        <v>0</v>
      </c>
      <c r="AA19" s="57">
        <f t="shared" si="2"/>
        <v>0</v>
      </c>
      <c r="AB19" s="57">
        <f t="shared" si="2"/>
        <v>0</v>
      </c>
      <c r="AC19" s="57">
        <f t="shared" si="2"/>
        <v>0</v>
      </c>
      <c r="AD19" s="57">
        <f t="shared" si="2"/>
        <v>0</v>
      </c>
      <c r="AE19" s="57">
        <f t="shared" si="2"/>
        <v>0</v>
      </c>
      <c r="AF19" s="57">
        <f t="shared" si="2"/>
        <v>0</v>
      </c>
      <c r="AG19" s="57">
        <f t="shared" si="2"/>
        <v>0</v>
      </c>
    </row>
    <row r="20" spans="1:33" s="31" customFormat="1">
      <c r="A20" s="28"/>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1" spans="1:33" s="31" customFormat="1">
      <c r="A21" s="163" t="s">
        <v>193</v>
      </c>
      <c r="B21" s="12" t="s">
        <v>194</v>
      </c>
      <c r="C21" s="151">
        <f>(1+'Costs and Assumptions'!$C$18)^(C4-'Costs and Assumptions'!$G$14)</f>
        <v>1.3604889600000003</v>
      </c>
      <c r="D21" s="151">
        <f>(1+'Costs and Assumptions'!$C$18)^(D4-'Costs and Assumptions'!$G$14)</f>
        <v>1.4693280768000003</v>
      </c>
      <c r="E21" s="151">
        <f>(1+'Costs and Assumptions'!$C$18)^(E4-'Costs and Assumptions'!$G$14)</f>
        <v>1.5868743229440005</v>
      </c>
      <c r="F21" s="151">
        <f>(1+'Costs and Assumptions'!$C$18)^(F4-'Costs and Assumptions'!$G$14)</f>
        <v>1.7138242687795207</v>
      </c>
      <c r="G21" s="151">
        <f>(1+'Costs and Assumptions'!$C$18)^(G4-'Costs and Assumptions'!$G$14)</f>
        <v>1.8509302102818823</v>
      </c>
      <c r="H21" s="151">
        <f>(1+'Costs and Assumptions'!$C$18)^(H4-'Costs and Assumptions'!$G$14)</f>
        <v>1.9990046271044331</v>
      </c>
      <c r="I21" s="151">
        <f>(1+'Costs and Assumptions'!$C$18)^(I4-'Costs and Assumptions'!$G$14)</f>
        <v>2.1589249972727877</v>
      </c>
      <c r="J21" s="151">
        <f>(1+'Costs and Assumptions'!$C$18)^(J4-'Costs and Assumptions'!$G$14)</f>
        <v>2.3316389970546108</v>
      </c>
      <c r="K21" s="151">
        <f>(1+'Costs and Assumptions'!$C$18)^(K4-'Costs and Assumptions'!$G$14)</f>
        <v>2.5181701168189798</v>
      </c>
      <c r="L21" s="151">
        <f>(1+'Costs and Assumptions'!$C$19)^(L4-'Costs and Assumptions'!$G$14)</f>
        <v>3.4522712143931029</v>
      </c>
      <c r="M21" s="151">
        <f>(1+'Costs and Assumptions'!$C$19)^(M4-'Costs and Assumptions'!$G$14)</f>
        <v>3.7974983358324139</v>
      </c>
      <c r="N21" s="151">
        <f>(1+'Costs and Assumptions'!$C$19)^(N4-'Costs and Assumptions'!$G$14)</f>
        <v>4.1772481694156554</v>
      </c>
      <c r="O21" s="151">
        <f>(1+'Costs and Assumptions'!$C$19)^(O4-'Costs and Assumptions'!$G$14)</f>
        <v>4.5949729863572211</v>
      </c>
      <c r="P21" s="151">
        <f>(1+'Costs and Assumptions'!$C$19)^(P4-'Costs and Assumptions'!$G$14)</f>
        <v>5.0544702849929433</v>
      </c>
      <c r="Q21" s="151">
        <f>(1+'Costs and Assumptions'!$C$19)^(Q4-'Costs and Assumptions'!$G$14)</f>
        <v>5.5599173134922379</v>
      </c>
      <c r="R21" s="151">
        <f>(1+'Costs and Assumptions'!$C$19)^(R4-'Costs and Assumptions'!$G$14)</f>
        <v>6.1159090448414632</v>
      </c>
      <c r="S21" s="151">
        <f>(1+'Costs and Assumptions'!$C$19)^(S4-'Costs and Assumptions'!$G$14)</f>
        <v>6.7274999493256091</v>
      </c>
      <c r="T21" s="151">
        <f>(1+'Costs and Assumptions'!$C$19)^(T4-'Costs and Assumptions'!$G$14)</f>
        <v>7.4002499442581708</v>
      </c>
      <c r="U21" s="151">
        <f>(1+'Costs and Assumptions'!$C$19)^(U4-'Costs and Assumptions'!$G$14)</f>
        <v>8.140274938683989</v>
      </c>
      <c r="V21" s="151">
        <f>(1+'Costs and Assumptions'!$C$19)^(V4-'Costs and Assumptions'!$G$14)</f>
        <v>8.9543024325523888</v>
      </c>
      <c r="W21" s="151">
        <f>(1+'Costs and Assumptions'!$C$19)^(W4-'Costs and Assumptions'!$G$14)</f>
        <v>9.8497326758076262</v>
      </c>
      <c r="X21" s="151">
        <f>(1+'Costs and Assumptions'!$C$19)^(X4-'Costs and Assumptions'!$G$14)</f>
        <v>10.834705943388391</v>
      </c>
      <c r="Y21" s="151">
        <f>(1+'Costs and Assumptions'!$C$19)^(Y4-'Costs and Assumptions'!$G$14)</f>
        <v>11.918176537727231</v>
      </c>
      <c r="Z21" s="151">
        <f>(1+'Costs and Assumptions'!$C$19)^(Z4-'Costs and Assumptions'!$G$14)</f>
        <v>13.109994191499956</v>
      </c>
      <c r="AA21" s="151">
        <f>(1+'Costs and Assumptions'!$C$19)^(AA4-'Costs and Assumptions'!$G$14)</f>
        <v>14.420993610649951</v>
      </c>
      <c r="AB21" s="151">
        <f>(1+'Costs and Assumptions'!$C$19)^(AB4-'Costs and Assumptions'!$G$14)</f>
        <v>15.863092971714947</v>
      </c>
      <c r="AC21" s="151">
        <f>(1+'Costs and Assumptions'!$C$19)^(AC4-'Costs and Assumptions'!$G$14)</f>
        <v>17.449402268886445</v>
      </c>
      <c r="AD21" s="151">
        <f>(1+'Costs and Assumptions'!$C$19)^(AD4-'Costs and Assumptions'!$G$14)</f>
        <v>19.194342495775089</v>
      </c>
      <c r="AE21" s="151">
        <f>(1+'Costs and Assumptions'!$C$19)^(AE4-'Costs and Assumptions'!$G$14)</f>
        <v>21.113776745352599</v>
      </c>
      <c r="AF21" s="151">
        <f>(1+'Costs and Assumptions'!$C$19)^(AF4-'Costs and Assumptions'!$G$14)</f>
        <v>23.225154419887861</v>
      </c>
      <c r="AG21" s="151">
        <f>(1+'Costs and Assumptions'!$C$19)^(AG4-'Costs and Assumptions'!$G$14)</f>
        <v>25.547669861876649</v>
      </c>
    </row>
    <row r="22" spans="1:33" s="31" customFormat="1">
      <c r="A22" s="164"/>
      <c r="B22" s="11" t="s">
        <v>166</v>
      </c>
      <c r="C22" s="30"/>
      <c r="D22" s="153">
        <f>D13*'Costs and Assumptions'!$F$17*D21</f>
        <v>414263.25247314625</v>
      </c>
      <c r="E22" s="153">
        <f>E13*'Costs and Assumptions'!$F$17*E21</f>
        <v>447404.31267099798</v>
      </c>
      <c r="F22" s="153">
        <f>F13*'Costs and Assumptions'!$F$17*F21</f>
        <v>483196.6576846778</v>
      </c>
      <c r="G22" s="153">
        <f>G13*'Costs and Assumptions'!$F$17*G21</f>
        <v>521852.39029945206</v>
      </c>
      <c r="H22" s="153">
        <f>H13*'Costs and Assumptions'!$F$17*H21</f>
        <v>563600.5815234083</v>
      </c>
      <c r="I22" s="153">
        <f>I13*'Costs and Assumptions'!$F$17*I21</f>
        <v>608688.62804528093</v>
      </c>
      <c r="J22" s="153">
        <f>J13*'Costs and Assumptions'!$F$17*J21</f>
        <v>657383.71828890336</v>
      </c>
      <c r="K22" s="153">
        <f>K13*'Costs and Assumptions'!$F$17*K21</f>
        <v>709974.41575201578</v>
      </c>
      <c r="L22" s="153">
        <f>L13*'Costs and Assumptions'!$F$17*L21</f>
        <v>973335.44786578789</v>
      </c>
      <c r="M22" s="153">
        <f>M13*'Costs and Assumptions'!$F$17*M21</f>
        <v>1070668.9926523669</v>
      </c>
      <c r="N22" s="153">
        <f>N13*'Costs and Assumptions'!$F$17*N21</f>
        <v>1177735.8919176036</v>
      </c>
      <c r="O22" s="153">
        <f>O13*'Costs and Assumptions'!$F$17*O21</f>
        <v>1295509.481109364</v>
      </c>
      <c r="P22" s="153">
        <f>P13*'Costs and Assumptions'!$F$17*P21</f>
        <v>1425060.4292203004</v>
      </c>
      <c r="Q22" s="153">
        <f>Q13*'Costs and Assumptions'!$F$17*Q21</f>
        <v>1567566.4721423306</v>
      </c>
      <c r="R22" s="153">
        <f>R13*'Costs and Assumptions'!$F$17*R21</f>
        <v>1724323.119356564</v>
      </c>
      <c r="S22" s="153">
        <f>S13*'Costs and Assumptions'!$F$17*S21</f>
        <v>1896755.4312922203</v>
      </c>
      <c r="T22" s="153">
        <f>T13*'Costs and Assumptions'!$F$17*T21</f>
        <v>2086430.9744214425</v>
      </c>
      <c r="U22" s="153">
        <f>U13*'Costs and Assumptions'!$F$17*U21</f>
        <v>2295074.071863587</v>
      </c>
      <c r="V22" s="153">
        <f>V13*'Costs and Assumptions'!$F$17*V21</f>
        <v>2524581.4790499462</v>
      </c>
      <c r="W22" s="153">
        <f>W13*'Costs and Assumptions'!$F$17*W21</f>
        <v>2777039.6269549401</v>
      </c>
      <c r="X22" s="153">
        <f>X13*'Costs and Assumptions'!$F$17*X21</f>
        <v>3054743.5896504349</v>
      </c>
      <c r="Y22" s="153">
        <f>Y13*'Costs and Assumptions'!$F$17*Y21</f>
        <v>3360217.9486154784</v>
      </c>
      <c r="Z22" s="153">
        <f>Z13*'Costs and Assumptions'!$F$17*Z21</f>
        <v>3696239.7434770269</v>
      </c>
      <c r="AA22" s="153">
        <f>AA13*'Costs and Assumptions'!$F$17*AA21</f>
        <v>4065863.7178247296</v>
      </c>
      <c r="AB22" s="153">
        <f>AB13*'Costs and Assumptions'!$F$17*AB21</f>
        <v>4472450.0896072024</v>
      </c>
      <c r="AC22" s="153">
        <f>AC13*'Costs and Assumptions'!$F$17*AC21</f>
        <v>4919695.0985679235</v>
      </c>
      <c r="AD22" s="153">
        <f>AD13*'Costs and Assumptions'!$F$17*AD21</f>
        <v>5411664.6084247166</v>
      </c>
      <c r="AE22" s="153">
        <f>AE13*'Costs and Assumptions'!$F$17*AE21</f>
        <v>5952831.0692671882</v>
      </c>
      <c r="AF22" s="153">
        <f>AF13*'Costs and Assumptions'!$F$17*AF21</f>
        <v>6548114.1761939079</v>
      </c>
      <c r="AG22" s="153">
        <f>AG13*'Costs and Assumptions'!$F$17*AG21</f>
        <v>7202925.5938132992</v>
      </c>
    </row>
    <row r="23" spans="1:33" s="31" customFormat="1">
      <c r="A23" s="164"/>
      <c r="B23" s="11" t="s">
        <v>195</v>
      </c>
      <c r="C23" s="151">
        <f>(1+'Costs and Assumptions'!$C$33)^(C4-'Costs and Assumptions'!$G$14)</f>
        <v>1.0364889225609997</v>
      </c>
      <c r="D23" s="151">
        <f>(1+'Costs and Assumptions'!$C$33)^(D4-'Costs and Assumptions'!$G$14)</f>
        <v>1.0458173228640486</v>
      </c>
      <c r="E23" s="151">
        <f>(1+'Costs and Assumptions'!$C$33)^(E4-'Costs and Assumptions'!$G$14)</f>
        <v>1.055229678769825</v>
      </c>
      <c r="F23" s="151">
        <f>(1+'Costs and Assumptions'!$C$33)^(F4-'Costs and Assumptions'!$G$14)</f>
        <v>1.064726745878753</v>
      </c>
      <c r="G23" s="151">
        <f>(1+'Costs and Assumptions'!$C$33)^(G4-'Costs and Assumptions'!$G$14)</f>
        <v>1.0743092865916619</v>
      </c>
      <c r="H23" s="151">
        <f>(1+'Costs and Assumptions'!$C$33)^(H4-'Costs and Assumptions'!$G$14)</f>
        <v>1.0839780701709867</v>
      </c>
      <c r="I23" s="151">
        <f>(1+'Costs and Assumptions'!$C$33)^(I4-'Costs and Assumptions'!$G$14)</f>
        <v>1.0937338728025254</v>
      </c>
      <c r="J23" s="151">
        <f>(1+'Costs and Assumptions'!$C$33)^(J4-'Costs and Assumptions'!$G$14)</f>
        <v>1.1035774776577481</v>
      </c>
      <c r="K23" s="151">
        <f>(1+'Costs and Assumptions'!$C$33)^(K4-'Costs and Assumptions'!$G$14)</f>
        <v>1.113509674956668</v>
      </c>
      <c r="L23" s="151">
        <f>(1+'Costs and Assumptions'!$C$33)^(L4-'Costs and Assumptions'!$G$14)</f>
        <v>1.1235312620312778</v>
      </c>
      <c r="M23" s="151">
        <f>(1+'Costs and Assumptions'!$C$33)^(M4-'Costs and Assumptions'!$G$14)</f>
        <v>1.1336430433895592</v>
      </c>
      <c r="N23" s="151">
        <f>(1+'Costs and Assumptions'!$C$33)^(N4-'Costs and Assumptions'!$G$14)</f>
        <v>1.143845830780065</v>
      </c>
      <c r="O23" s="151">
        <f>(1+'Costs and Assumptions'!$C$33)^(O4-'Costs and Assumptions'!$G$14)</f>
        <v>1.1541404432570856</v>
      </c>
      <c r="P23" s="151">
        <f>(1+'Costs and Assumptions'!$C$33)^(P4-'Costs and Assumptions'!$G$14)</f>
        <v>1.1645277072463993</v>
      </c>
      <c r="Q23" s="151">
        <f>(1+'Costs and Assumptions'!$C$33)^(Q4-'Costs and Assumptions'!$G$14)</f>
        <v>1.1750084566116168</v>
      </c>
      <c r="R23" s="151">
        <f>(1+'Costs and Assumptions'!$C$33)^(R4-'Costs and Assumptions'!$G$14)</f>
        <v>1.185583532721121</v>
      </c>
      <c r="S23" s="151">
        <f>(1+'Costs and Assumptions'!$C$33)^(S4-'Costs and Assumptions'!$G$14)</f>
        <v>1.1962537845156114</v>
      </c>
      <c r="T23" s="151">
        <f>(1+'Costs and Assumptions'!$C$33)^(T4-'Costs and Assumptions'!$G$14)</f>
        <v>1.2070200685762518</v>
      </c>
      <c r="U23" s="151">
        <f>(1+'Costs and Assumptions'!$C$33)^(U4-'Costs and Assumptions'!$G$14)</f>
        <v>1.2178832491934379</v>
      </c>
      <c r="V23" s="151">
        <f>(1+'Costs and Assumptions'!$C$33)^(V4-'Costs and Assumptions'!$G$14)</f>
        <v>1.2288441984361784</v>
      </c>
      <c r="W23" s="151">
        <f>(1+'Costs and Assumptions'!$C$33)^(W4-'Costs and Assumptions'!$G$14)</f>
        <v>1.2399037962221042</v>
      </c>
      <c r="X23" s="151">
        <f>(1+'Costs and Assumptions'!$C$33)^(X4-'Costs and Assumptions'!$G$14)</f>
        <v>1.2510629303881029</v>
      </c>
      <c r="Y23" s="151">
        <f>(1+'Costs and Assumptions'!$C$33)^(Y4-'Costs and Assumptions'!$G$14)</f>
        <v>1.2623224967615956</v>
      </c>
      <c r="Z23" s="151">
        <f>(1+'Costs and Assumptions'!$C$33)^(Z4-'Costs and Assumptions'!$G$14)</f>
        <v>1.2736833992324499</v>
      </c>
      <c r="AA23" s="151">
        <f>(1+'Costs and Assumptions'!$C$33)^(AA4-'Costs and Assumptions'!$G$14)</f>
        <v>1.2851465498255421</v>
      </c>
      <c r="AB23" s="151">
        <f>(1+'Costs and Assumptions'!$C$33)^(AB4-'Costs and Assumptions'!$G$14)</f>
        <v>1.296712868773972</v>
      </c>
      <c r="AC23" s="151">
        <f>(1+'Costs and Assumptions'!$C$33)^(AC4-'Costs and Assumptions'!$G$14)</f>
        <v>1.3083832845929375</v>
      </c>
      <c r="AD23" s="151">
        <f>(1+'Costs and Assumptions'!$C$33)^(AD4-'Costs and Assumptions'!$G$14)</f>
        <v>1.3201587341542735</v>
      </c>
      <c r="AE23" s="151">
        <f>(1+'Costs and Assumptions'!$C$33)^(AE4-'Costs and Assumptions'!$G$14)</f>
        <v>1.332040162761662</v>
      </c>
      <c r="AF23" s="151">
        <f>(1+'Costs and Assumptions'!$C$33)^(AF4-'Costs and Assumptions'!$G$14)</f>
        <v>1.3440285242265169</v>
      </c>
      <c r="AG23" s="151">
        <f>(1+'Costs and Assumptions'!$C$33)^(AG4-'Costs and Assumptions'!$G$14)</f>
        <v>1.3561247809445554</v>
      </c>
    </row>
    <row r="24" spans="1:33" s="31" customFormat="1">
      <c r="A24" s="165"/>
      <c r="B24" s="11" t="s">
        <v>168</v>
      </c>
      <c r="C24" s="30"/>
      <c r="D24" s="152">
        <f>D23*'Costs and Assumptions'!$G$32*(D13/('No Purchase Scenario'!D11+'No Purchase Scenario'!D12+D13))</f>
        <v>55625.795812805001</v>
      </c>
      <c r="E24" s="152">
        <f>E23*'Costs and Assumptions'!$G$32*(E13/('No Purchase Scenario'!E11+'No Purchase Scenario'!E12+E13))</f>
        <v>56126.427975120241</v>
      </c>
      <c r="F24" s="152">
        <f>F23*'Costs and Assumptions'!$G$32*(F13/('No Purchase Scenario'!F11+'No Purchase Scenario'!F12+F13))</f>
        <v>56631.565826896302</v>
      </c>
      <c r="G24" s="152">
        <f>G23*'Costs and Assumptions'!$G$32*(G13/('No Purchase Scenario'!G11+'No Purchase Scenario'!G12+G13))</f>
        <v>57141.249919338377</v>
      </c>
      <c r="H24" s="152">
        <f>H23*'Costs and Assumptions'!$G$32*(H13/('No Purchase Scenario'!H11+'No Purchase Scenario'!H12+H13))</f>
        <v>57655.521168612417</v>
      </c>
      <c r="I24" s="152">
        <f>I23*'Costs and Assumptions'!$G$32*(I13/('No Purchase Scenario'!I11+'No Purchase Scenario'!I12+I13))</f>
        <v>58174.420859129918</v>
      </c>
      <c r="J24" s="152">
        <f>J23*'Costs and Assumptions'!$G$32*(J13/('No Purchase Scenario'!J11+'No Purchase Scenario'!J12+J13))</f>
        <v>58697.990646862083</v>
      </c>
      <c r="K24" s="152">
        <f>K23*'Costs and Assumptions'!$G$32*(K13/('No Purchase Scenario'!K11+'No Purchase Scenario'!K12+K13))</f>
        <v>59226.272562683851</v>
      </c>
      <c r="L24" s="152">
        <f>L23*'Costs and Assumptions'!$G$32*(L13/('No Purchase Scenario'!L11+'No Purchase Scenario'!L12+L13))</f>
        <v>59759.309015748004</v>
      </c>
      <c r="M24" s="152">
        <f>M23*'Costs and Assumptions'!$G$32*(M13/('No Purchase Scenario'!M11+'No Purchase Scenario'!M12+M13))</f>
        <v>60297.142796889719</v>
      </c>
      <c r="N24" s="152">
        <f>N23*'Costs and Assumptions'!$G$32*(N13/('No Purchase Scenario'!N11+'No Purchase Scenario'!N12+N13))</f>
        <v>60839.817082061716</v>
      </c>
      <c r="O24" s="152">
        <f>O23*'Costs and Assumptions'!$G$32*(O13/('No Purchase Scenario'!O11+'No Purchase Scenario'!O12+O13))</f>
        <v>61387.375435800277</v>
      </c>
      <c r="P24" s="152">
        <f>P23*'Costs and Assumptions'!$G$32*(P13/('No Purchase Scenario'!P11+'No Purchase Scenario'!P12+P13))</f>
        <v>61939.86181472247</v>
      </c>
      <c r="Q24" s="152">
        <f>Q23*'Costs and Assumptions'!$G$32*(Q13/('No Purchase Scenario'!Q11+'No Purchase Scenario'!Q12+Q13))</f>
        <v>62497.320571054974</v>
      </c>
      <c r="R24" s="152">
        <f>R23*'Costs and Assumptions'!$G$32*(R13/('No Purchase Scenario'!R11+'No Purchase Scenario'!R12+R13))</f>
        <v>63059.796456194446</v>
      </c>
      <c r="S24" s="152">
        <f>S23*'Costs and Assumptions'!$G$32*(S13/('No Purchase Scenario'!S11+'No Purchase Scenario'!S12+S13))</f>
        <v>63627.334624300209</v>
      </c>
      <c r="T24" s="152">
        <f>T23*'Costs and Assumptions'!$G$32*(T13/('No Purchase Scenario'!T11+'No Purchase Scenario'!T12+T13))</f>
        <v>64199.98063591891</v>
      </c>
      <c r="U24" s="152">
        <f>U23*'Costs and Assumptions'!$G$32*(U13/('No Purchase Scenario'!U11+'No Purchase Scenario'!U12+U13))</f>
        <v>64777.780461642164</v>
      </c>
      <c r="V24" s="152">
        <f>V23*'Costs and Assumptions'!$G$32*(V13/('No Purchase Scenario'!V11+'No Purchase Scenario'!V12+V13))</f>
        <v>65360.780485796924</v>
      </c>
      <c r="W24" s="152">
        <f>W23*'Costs and Assumptions'!$G$32*(W13/('No Purchase Scenario'!W11+'No Purchase Scenario'!W12+W13))</f>
        <v>65949.027510169108</v>
      </c>
      <c r="X24" s="152">
        <f>X23*'Costs and Assumptions'!$G$32*(X13/('No Purchase Scenario'!X11+'No Purchase Scenario'!X12+X13))</f>
        <v>66542.568757760615</v>
      </c>
      <c r="Y24" s="152">
        <f>Y23*'Costs and Assumptions'!$G$32*(Y13/('No Purchase Scenario'!Y11+'No Purchase Scenario'!Y12+Y13))</f>
        <v>67141.451876580453</v>
      </c>
      <c r="Z24" s="152">
        <f>Z23*'Costs and Assumptions'!$G$32*(Z13/('No Purchase Scenario'!Z11+'No Purchase Scenario'!Z12+Z13))</f>
        <v>67745.724943469671</v>
      </c>
      <c r="AA24" s="152">
        <f>AA23*'Costs and Assumptions'!$G$32*(AA13/('No Purchase Scenario'!AA11+'No Purchase Scenario'!AA12+AA13))</f>
        <v>68355.436467960899</v>
      </c>
      <c r="AB24" s="152">
        <f>AB23*'Costs and Assumptions'!$G$32*(AB13/('No Purchase Scenario'!AB11+'No Purchase Scenario'!AB12+AB13))</f>
        <v>68970.635396172554</v>
      </c>
      <c r="AC24" s="152">
        <f>AC23*'Costs and Assumptions'!$G$32*(AC13/('No Purchase Scenario'!AC11+'No Purchase Scenario'!AC12+AC13))</f>
        <v>69591.371114738096</v>
      </c>
      <c r="AD24" s="152">
        <f>AD23*'Costs and Assumptions'!$G$32*(AD13/('No Purchase Scenario'!AD11+'No Purchase Scenario'!AD12+AD13))</f>
        <v>70217.693454770721</v>
      </c>
      <c r="AE24" s="152">
        <f>AE23*'Costs and Assumptions'!$G$32*(AE13/('No Purchase Scenario'!AE11+'No Purchase Scenario'!AE12+AE13))</f>
        <v>70849.652695863668</v>
      </c>
      <c r="AF24" s="152">
        <f>AF23*'Costs and Assumptions'!$G$32*(AF13/('No Purchase Scenario'!AF11+'No Purchase Scenario'!AF12+AF13))</f>
        <v>71487.299570126415</v>
      </c>
      <c r="AG24" s="152">
        <f>AG23*'Costs and Assumptions'!$G$32*(AG13/('No Purchase Scenario'!AG11+'No Purchase Scenario'!AG12+AG13))</f>
        <v>72130.685266257555</v>
      </c>
    </row>
    <row r="25" spans="1:33" s="31" customFormat="1">
      <c r="A25" s="159"/>
      <c r="B25" s="70" t="s">
        <v>196</v>
      </c>
      <c r="C25" s="30"/>
      <c r="D25" s="154">
        <f>SUM(D22+D24)</f>
        <v>469889.04828595126</v>
      </c>
      <c r="E25" s="154">
        <f t="shared" ref="E25:AG25" si="3">SUM(E22+E24)</f>
        <v>503530.74064611824</v>
      </c>
      <c r="F25" s="154">
        <f t="shared" si="3"/>
        <v>539828.22351157409</v>
      </c>
      <c r="G25" s="154">
        <f t="shared" si="3"/>
        <v>578993.64021879039</v>
      </c>
      <c r="H25" s="154">
        <f t="shared" si="3"/>
        <v>621256.10269202071</v>
      </c>
      <c r="I25" s="154">
        <f t="shared" si="3"/>
        <v>666863.0489044108</v>
      </c>
      <c r="J25" s="154">
        <f t="shared" si="3"/>
        <v>716081.70893576543</v>
      </c>
      <c r="K25" s="154">
        <f t="shared" si="3"/>
        <v>769200.68831469957</v>
      </c>
      <c r="L25" s="154">
        <f t="shared" si="3"/>
        <v>1033094.7568815359</v>
      </c>
      <c r="M25" s="154">
        <f t="shared" si="3"/>
        <v>1130966.1354492565</v>
      </c>
      <c r="N25" s="154">
        <f t="shared" si="3"/>
        <v>1238575.7089996652</v>
      </c>
      <c r="O25" s="154">
        <f t="shared" si="3"/>
        <v>1356896.8565451642</v>
      </c>
      <c r="P25" s="154">
        <f t="shared" si="3"/>
        <v>1487000.2910350228</v>
      </c>
      <c r="Q25" s="154">
        <f t="shared" si="3"/>
        <v>1630063.7927133855</v>
      </c>
      <c r="R25" s="154">
        <f t="shared" si="3"/>
        <v>1787382.9158127585</v>
      </c>
      <c r="S25" s="154">
        <f t="shared" si="3"/>
        <v>1960382.7659165205</v>
      </c>
      <c r="T25" s="154">
        <f t="shared" si="3"/>
        <v>2150630.9550573612</v>
      </c>
      <c r="U25" s="154">
        <f t="shared" si="3"/>
        <v>2359851.852325229</v>
      </c>
      <c r="V25" s="154">
        <f t="shared" si="3"/>
        <v>2589942.2595357429</v>
      </c>
      <c r="W25" s="154">
        <f t="shared" si="3"/>
        <v>2842988.6544651091</v>
      </c>
      <c r="X25" s="154">
        <f t="shared" si="3"/>
        <v>3121286.1584081957</v>
      </c>
      <c r="Y25" s="154">
        <f t="shared" si="3"/>
        <v>3427359.4004920586</v>
      </c>
      <c r="Z25" s="154">
        <f t="shared" si="3"/>
        <v>3763985.4684204967</v>
      </c>
      <c r="AA25" s="154">
        <f t="shared" si="3"/>
        <v>4134219.1542926906</v>
      </c>
      <c r="AB25" s="154">
        <f t="shared" si="3"/>
        <v>4541420.7250033747</v>
      </c>
      <c r="AC25" s="154">
        <f t="shared" si="3"/>
        <v>4989286.4696826618</v>
      </c>
      <c r="AD25" s="154">
        <f t="shared" si="3"/>
        <v>5481882.301879487</v>
      </c>
      <c r="AE25" s="154">
        <f t="shared" si="3"/>
        <v>6023680.7219630517</v>
      </c>
      <c r="AF25" s="154">
        <f t="shared" si="3"/>
        <v>6619601.4757640343</v>
      </c>
      <c r="AG25" s="154">
        <f t="shared" si="3"/>
        <v>7275056.2790795565</v>
      </c>
    </row>
    <row r="26" spans="1:33" s="31" customFormat="1">
      <c r="A26" s="159"/>
      <c r="B26" s="7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row>
    <row r="27" spans="1:33" s="31" customFormat="1">
      <c r="A27" s="159"/>
      <c r="B27" s="70" t="s">
        <v>197</v>
      </c>
      <c r="C27" s="30"/>
      <c r="D27" s="155">
        <f>D8*'Costs and Assumptions'!$F$8*D29</f>
        <v>0</v>
      </c>
      <c r="E27" s="155">
        <f>E8*'Costs and Assumptions'!$F$8*E29</f>
        <v>0</v>
      </c>
      <c r="F27" s="155">
        <f>F8*'Costs and Assumptions'!$F$8*F29</f>
        <v>0</v>
      </c>
      <c r="G27" s="155">
        <f>G8*'Costs and Assumptions'!$F$8*G29</f>
        <v>0</v>
      </c>
      <c r="H27" s="155">
        <f>H8*'Costs and Assumptions'!$F$8*H29</f>
        <v>0</v>
      </c>
      <c r="I27" s="155">
        <f>I8*'Costs and Assumptions'!$F$8*I29</f>
        <v>0</v>
      </c>
      <c r="J27" s="155">
        <f>J8*'Costs and Assumptions'!$F$8*J29</f>
        <v>0</v>
      </c>
      <c r="K27" s="155">
        <f>K8*'Costs and Assumptions'!$F$8*K29</f>
        <v>0</v>
      </c>
      <c r="L27" s="155">
        <f>L8*'Costs and Assumptions'!$F$8*L29</f>
        <v>0</v>
      </c>
      <c r="M27" s="155">
        <f>M8*'Costs and Assumptions'!$F$8*M29</f>
        <v>0</v>
      </c>
      <c r="N27" s="155">
        <f>N8*'Costs and Assumptions'!$F$8*N29</f>
        <v>0</v>
      </c>
      <c r="O27" s="155">
        <f>O8*'Costs and Assumptions'!$F$8*O29</f>
        <v>0</v>
      </c>
      <c r="P27" s="155">
        <f>P8*'Costs and Assumptions'!$F$8*P29</f>
        <v>0</v>
      </c>
      <c r="Q27" s="155">
        <f>Q8*'Costs and Assumptions'!$F$8*Q29</f>
        <v>0</v>
      </c>
      <c r="R27" s="155">
        <f>R8*'Costs and Assumptions'!$F$8*R29</f>
        <v>0</v>
      </c>
      <c r="S27" s="155">
        <f>S8*'Costs and Assumptions'!$F$8*S29</f>
        <v>12008587.409546213</v>
      </c>
      <c r="T27" s="155">
        <f>T8*'Costs and Assumptions'!$F$8*T29</f>
        <v>0</v>
      </c>
      <c r="U27" s="155">
        <f>U8*'Costs and Assumptions'!$F$8*U29</f>
        <v>0</v>
      </c>
      <c r="V27" s="155">
        <f>V8*'Costs and Assumptions'!$F$8*V29</f>
        <v>0</v>
      </c>
      <c r="W27" s="155">
        <f>W8*'Costs and Assumptions'!$F$8*W29</f>
        <v>0</v>
      </c>
      <c r="X27" s="155">
        <f>X8*'Costs and Assumptions'!$F$8*X29</f>
        <v>0</v>
      </c>
      <c r="Y27" s="155">
        <f>Y8*'Costs and Assumptions'!$F$8*Y29</f>
        <v>0</v>
      </c>
      <c r="Z27" s="155">
        <f>Z8*'Costs and Assumptions'!$F$8*Z29</f>
        <v>23401339.631827421</v>
      </c>
      <c r="AA27" s="155">
        <f>AA8*'Costs and Assumptions'!$F$8*AA29</f>
        <v>0</v>
      </c>
      <c r="AB27" s="155">
        <f>AB8*'Costs and Assumptions'!$F$8*AB29</f>
        <v>0</v>
      </c>
      <c r="AC27" s="155">
        <f>AC8*'Costs and Assumptions'!$F$8*AC29</f>
        <v>0</v>
      </c>
      <c r="AD27" s="155">
        <f>AD8*'Costs and Assumptions'!$F$8*AD29</f>
        <v>0</v>
      </c>
      <c r="AE27" s="155">
        <f>AE8*'Costs and Assumptions'!$F$8*AE29</f>
        <v>0</v>
      </c>
      <c r="AF27" s="155">
        <f>AF8*'Costs and Assumptions'!$F$8*AF29</f>
        <v>0</v>
      </c>
      <c r="AG27" s="155">
        <f>AG8*'Costs and Assumptions'!$F$8*AG29</f>
        <v>0</v>
      </c>
    </row>
    <row r="28" spans="1:33" s="31" customFormat="1">
      <c r="A28" s="28"/>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row>
    <row r="29" spans="1:33" s="12" customFormat="1" ht="15" customHeight="1">
      <c r="A29" s="167" t="s">
        <v>164</v>
      </c>
      <c r="B29" s="12" t="s">
        <v>165</v>
      </c>
      <c r="C29" s="13">
        <f>(1+'Costs and Assumptions'!$C$18)^(C4-'Costs and Assumptions'!$G$14)</f>
        <v>1.3604889600000003</v>
      </c>
      <c r="D29" s="13">
        <f>(1+'Costs and Assumptions'!$C$18)^(D4-'Costs and Assumptions'!$G$14)</f>
        <v>1.4693280768000003</v>
      </c>
      <c r="E29" s="13">
        <f>(1+'Costs and Assumptions'!$C$18)^(E4-'Costs and Assumptions'!$G$14)</f>
        <v>1.5868743229440005</v>
      </c>
      <c r="F29" s="13">
        <f>(1+'Costs and Assumptions'!$C$18)^(F4-'Costs and Assumptions'!$G$14)</f>
        <v>1.7138242687795207</v>
      </c>
      <c r="G29" s="13">
        <f>(1+'Costs and Assumptions'!$C$18)^(G4-'Costs and Assumptions'!$G$14)</f>
        <v>1.8509302102818823</v>
      </c>
      <c r="H29" s="13">
        <f>(1+'Costs and Assumptions'!$C$18)^(H4-'Costs and Assumptions'!$G$14)</f>
        <v>1.9990046271044331</v>
      </c>
      <c r="I29" s="13">
        <f>(1+'Costs and Assumptions'!$C$18)^(I4-'Costs and Assumptions'!$G$14)</f>
        <v>2.1589249972727877</v>
      </c>
      <c r="J29" s="13">
        <f>(1+'Costs and Assumptions'!$C$18)^(J4-'Costs and Assumptions'!$G$14)</f>
        <v>2.3316389970546108</v>
      </c>
      <c r="K29" s="13">
        <f>(1+'Costs and Assumptions'!$C$18)^(K4-'Costs and Assumptions'!$G$14)</f>
        <v>2.5181701168189798</v>
      </c>
      <c r="L29" s="13">
        <f>(1+'Costs and Assumptions'!$C$19)^(L4-'Costs and Assumptions'!$G$14)</f>
        <v>3.4522712143931029</v>
      </c>
      <c r="M29" s="13">
        <f>(1+'Costs and Assumptions'!$C$19)^(M4-'Costs and Assumptions'!$G$14)</f>
        <v>3.7974983358324139</v>
      </c>
      <c r="N29" s="13">
        <f>(1+'Costs and Assumptions'!$C$19)^(N4-'Costs and Assumptions'!$G$14)</f>
        <v>4.1772481694156554</v>
      </c>
      <c r="O29" s="13">
        <f>(1+'Costs and Assumptions'!$C$19)^(O4-'Costs and Assumptions'!$G$14)</f>
        <v>4.5949729863572211</v>
      </c>
      <c r="P29" s="13">
        <f>(1+'Costs and Assumptions'!$C$19)^(P4-'Costs and Assumptions'!$G$14)</f>
        <v>5.0544702849929433</v>
      </c>
      <c r="Q29" s="13">
        <f>(1+'Costs and Assumptions'!$C$19)^(Q4-'Costs and Assumptions'!$G$14)</f>
        <v>5.5599173134922379</v>
      </c>
      <c r="R29" s="13">
        <f>(1+'Costs and Assumptions'!$C$19)^(R4-'Costs and Assumptions'!$G$14)</f>
        <v>6.1159090448414632</v>
      </c>
      <c r="S29" s="13">
        <f>(1+'Costs and Assumptions'!$C$19)^(S4-'Costs and Assumptions'!$G$14)</f>
        <v>6.7274999493256091</v>
      </c>
      <c r="T29" s="13">
        <f>(1+'Costs and Assumptions'!$C$19)^(T4-'Costs and Assumptions'!$G$14)</f>
        <v>7.4002499442581708</v>
      </c>
      <c r="U29" s="13">
        <f>(1+'Costs and Assumptions'!$C$19)^(U4-'Costs and Assumptions'!$G$14)</f>
        <v>8.140274938683989</v>
      </c>
      <c r="V29" s="13">
        <f>(1+'Costs and Assumptions'!$C$19)^(V4-'Costs and Assumptions'!$G$14)</f>
        <v>8.9543024325523888</v>
      </c>
      <c r="W29" s="13">
        <f>(1+'Costs and Assumptions'!$C$19)^(W4-'Costs and Assumptions'!$G$14)</f>
        <v>9.8497326758076262</v>
      </c>
      <c r="X29" s="13">
        <f>(1+'Costs and Assumptions'!$C$19)^(X4-'Costs and Assumptions'!$G$14)</f>
        <v>10.834705943388391</v>
      </c>
      <c r="Y29" s="13">
        <f>(1+'Costs and Assumptions'!$C$19)^(Y4-'Costs and Assumptions'!$G$14)</f>
        <v>11.918176537727231</v>
      </c>
      <c r="Z29" s="13">
        <f>(1+'Costs and Assumptions'!$C$19)^(Z4-'Costs and Assumptions'!$G$14)</f>
        <v>13.109994191499956</v>
      </c>
      <c r="AA29" s="13">
        <f>(1+'Costs and Assumptions'!$C$19)^(AA4-'Costs and Assumptions'!$G$14)</f>
        <v>14.420993610649951</v>
      </c>
      <c r="AB29" s="13">
        <f>(1+'Costs and Assumptions'!$C$19)^(AB4-'Costs and Assumptions'!$G$14)</f>
        <v>15.863092971714947</v>
      </c>
      <c r="AC29" s="13">
        <f>(1+'Costs and Assumptions'!$C$19)^(AC4-'Costs and Assumptions'!$G$14)</f>
        <v>17.449402268886445</v>
      </c>
      <c r="AD29" s="13">
        <f>(1+'Costs and Assumptions'!$C$19)^(AD4-'Costs and Assumptions'!$G$14)</f>
        <v>19.194342495775089</v>
      </c>
      <c r="AE29" s="13">
        <f>(1+'Costs and Assumptions'!$C$19)^(AE4-'Costs and Assumptions'!$G$14)</f>
        <v>21.113776745352599</v>
      </c>
      <c r="AF29" s="13">
        <f>(1+'Costs and Assumptions'!$C$19)^(AF4-'Costs and Assumptions'!$G$14)</f>
        <v>23.225154419887861</v>
      </c>
      <c r="AG29" s="13">
        <f>(1+'Costs and Assumptions'!$C$19)^(AG4-'Costs and Assumptions'!$G$14)</f>
        <v>25.547669861876649</v>
      </c>
    </row>
    <row r="30" spans="1:33" s="12" customFormat="1">
      <c r="A30" s="167"/>
      <c r="B30" s="11" t="s">
        <v>166</v>
      </c>
      <c r="C30" s="34"/>
      <c r="D30" s="52">
        <f>D12*'Costs and Assumptions'!$F$17*D29</f>
        <v>1325642.4079140679</v>
      </c>
      <c r="E30" s="52">
        <f>E12*'Costs and Assumptions'!$F$17*E29</f>
        <v>1431693.8005471935</v>
      </c>
      <c r="F30" s="52">
        <f>F12*'Costs and Assumptions'!$F$17*F29</f>
        <v>1546229.3045909691</v>
      </c>
      <c r="G30" s="52">
        <f>G12*'Costs and Assumptions'!$F$17*G29</f>
        <v>1669927.6489582467</v>
      </c>
      <c r="H30" s="52">
        <f>H12*'Costs and Assumptions'!$F$17*H29</f>
        <v>1803521.8608749064</v>
      </c>
      <c r="I30" s="52">
        <f>I12*'Costs and Assumptions'!$F$17*I29</f>
        <v>1947803.609744899</v>
      </c>
      <c r="J30" s="52">
        <f>J12*'Costs and Assumptions'!$F$17*J29</f>
        <v>2103627.8985244911</v>
      </c>
      <c r="K30" s="34">
        <f>K12*'Costs and Assumptions'!$F$17*K29</f>
        <v>2271918.1304064505</v>
      </c>
      <c r="L30" s="34">
        <f>L12*'Costs and Assumptions'!$F$17*L29</f>
        <v>3114673.4331705212</v>
      </c>
      <c r="M30" s="34">
        <f>M12*'Costs and Assumptions'!$F$17*M29</f>
        <v>3426140.776487574</v>
      </c>
      <c r="N30" s="34">
        <f>N12*'Costs and Assumptions'!$F$17*N29</f>
        <v>3768754.8541363315</v>
      </c>
      <c r="O30" s="34">
        <f>O12*'Costs and Assumptions'!$F$17*O29</f>
        <v>4145630.3395499648</v>
      </c>
      <c r="P30" s="34">
        <f>P12*'Costs and Assumptions'!$F$17*P29</f>
        <v>4560193.3735049609</v>
      </c>
      <c r="Q30" s="34">
        <f>Q12*'Costs and Assumptions'!$F$17*Q29</f>
        <v>5016212.7108554579</v>
      </c>
      <c r="R30" s="34">
        <f>R12*'Costs and Assumptions'!$F$17*R29</f>
        <v>5517833.9819410052</v>
      </c>
      <c r="S30" s="34">
        <f>S12*'Costs and Assumptions'!$F$17*S29</f>
        <v>6069617.380135105</v>
      </c>
      <c r="T30" s="34">
        <f>T12*'Costs and Assumptions'!$F$17*T29</f>
        <v>6676579.1181486165</v>
      </c>
      <c r="U30" s="34">
        <f>U12*'Costs and Assumptions'!$F$17*U29</f>
        <v>7344237.0299634784</v>
      </c>
      <c r="V30" s="34">
        <f>V12*'Costs and Assumptions'!$F$17*V29</f>
        <v>8078660.7329598274</v>
      </c>
      <c r="W30" s="34">
        <f>W12*'Costs and Assumptions'!$F$17*W29</f>
        <v>8886526.8062558081</v>
      </c>
      <c r="X30" s="34">
        <f>X12*'Costs and Assumptions'!$F$17*X29</f>
        <v>9775179.4868813921</v>
      </c>
      <c r="Y30" s="34">
        <f>Y12*'Costs and Assumptions'!$F$17*Y29</f>
        <v>10752697.435569532</v>
      </c>
      <c r="Z30" s="34">
        <f>Z12*'Costs and Assumptions'!$F$17*Z29</f>
        <v>11827967.179126486</v>
      </c>
      <c r="AA30" s="34">
        <f>AA12*'Costs and Assumptions'!$F$17*AA29</f>
        <v>13010763.897039134</v>
      </c>
      <c r="AB30" s="34">
        <f>AB12*'Costs and Assumptions'!$F$17*AB29</f>
        <v>14311840.286743049</v>
      </c>
      <c r="AC30" s="34">
        <f>AC12*'Costs and Assumptions'!$F$17*AC29</f>
        <v>15743024.315417357</v>
      </c>
      <c r="AD30" s="34">
        <f>AD12*'Costs and Assumptions'!$F$17*AD29</f>
        <v>17317326.746959094</v>
      </c>
      <c r="AE30" s="34">
        <f>AE12*'Costs and Assumptions'!$F$17*AE29</f>
        <v>19049059.421655003</v>
      </c>
      <c r="AF30" s="34">
        <f>AF12*'Costs and Assumptions'!$F$17*AF29</f>
        <v>20953965.363820504</v>
      </c>
      <c r="AG30" s="34">
        <f>AG12*'Costs and Assumptions'!$F$17*AG29</f>
        <v>23049361.900202557</v>
      </c>
    </row>
    <row r="31" spans="1:33" s="12" customFormat="1">
      <c r="A31" s="167"/>
      <c r="B31" s="11" t="s">
        <v>167</v>
      </c>
      <c r="C31" s="13">
        <f>(1+'Costs and Assumptions'!$C$33)^(C4-'Costs and Assumptions'!$G$14)</f>
        <v>1.0364889225609997</v>
      </c>
      <c r="D31" s="13">
        <f>(1+'Costs and Assumptions'!$C$33)^(D4-'Costs and Assumptions'!$G$14)</f>
        <v>1.0458173228640486</v>
      </c>
      <c r="E31" s="13">
        <f>(1+'Costs and Assumptions'!$C$33)^(E4-'Costs and Assumptions'!$G$14)</f>
        <v>1.055229678769825</v>
      </c>
      <c r="F31" s="13">
        <f>(1+'Costs and Assumptions'!$C$33)^(F4-'Costs and Assumptions'!$G$14)</f>
        <v>1.064726745878753</v>
      </c>
      <c r="G31" s="13">
        <f>(1+'Costs and Assumptions'!$C$33)^(G4-'Costs and Assumptions'!$G$14)</f>
        <v>1.0743092865916619</v>
      </c>
      <c r="H31" s="13">
        <f>(1+'Costs and Assumptions'!$C$33)^(H4-'Costs and Assumptions'!$G$14)</f>
        <v>1.0839780701709867</v>
      </c>
      <c r="I31" s="13">
        <f>(1+'Costs and Assumptions'!$C$33)^(I4-'Costs and Assumptions'!$G$14)</f>
        <v>1.0937338728025254</v>
      </c>
      <c r="J31" s="13">
        <f>(1+'Costs and Assumptions'!$C$33)^(J4-'Costs and Assumptions'!$G$14)</f>
        <v>1.1035774776577481</v>
      </c>
      <c r="K31" s="13">
        <f>(1+'Costs and Assumptions'!$C$33)^(K4-'Costs and Assumptions'!$G$14)</f>
        <v>1.113509674956668</v>
      </c>
      <c r="L31" s="13">
        <f>(1+'Costs and Assumptions'!$C$33)^(L4-'Costs and Assumptions'!$G$14)</f>
        <v>1.1235312620312778</v>
      </c>
      <c r="M31" s="13">
        <f>(1+'Costs and Assumptions'!$C$33)^(M4-'Costs and Assumptions'!$G$14)</f>
        <v>1.1336430433895592</v>
      </c>
      <c r="N31" s="13">
        <f>(1+'Costs and Assumptions'!$C$33)^(N4-'Costs and Assumptions'!$G$14)</f>
        <v>1.143845830780065</v>
      </c>
      <c r="O31" s="13">
        <f>(1+'Costs and Assumptions'!$C$33)^(O4-'Costs and Assumptions'!$G$14)</f>
        <v>1.1541404432570856</v>
      </c>
      <c r="P31" s="13">
        <f>(1+'Costs and Assumptions'!$C$33)^(P4-'Costs and Assumptions'!$G$14)</f>
        <v>1.1645277072463993</v>
      </c>
      <c r="Q31" s="13">
        <f>(1+'Costs and Assumptions'!$C$33)^(Q4-'Costs and Assumptions'!$G$14)</f>
        <v>1.1750084566116168</v>
      </c>
      <c r="R31" s="13">
        <f>(1+'Costs and Assumptions'!$C$33)^(R4-'Costs and Assumptions'!$G$14)</f>
        <v>1.185583532721121</v>
      </c>
      <c r="S31" s="13">
        <f>(1+'Costs and Assumptions'!$C$33)^(S4-'Costs and Assumptions'!$G$14)</f>
        <v>1.1962537845156114</v>
      </c>
      <c r="T31" s="13">
        <f>(1+'Costs and Assumptions'!$C$33)^(T4-'Costs and Assumptions'!$G$14)</f>
        <v>1.2070200685762518</v>
      </c>
      <c r="U31" s="13">
        <f>(1+'Costs and Assumptions'!$C$33)^(U4-'Costs and Assumptions'!$G$14)</f>
        <v>1.2178832491934379</v>
      </c>
      <c r="V31" s="13">
        <f>(1+'Costs and Assumptions'!$C$33)^(V4-'Costs and Assumptions'!$G$14)</f>
        <v>1.2288441984361784</v>
      </c>
      <c r="W31" s="13">
        <f>(1+'Costs and Assumptions'!$C$33)^(W4-'Costs and Assumptions'!$G$14)</f>
        <v>1.2399037962221042</v>
      </c>
      <c r="X31" s="13">
        <f>(1+'Costs and Assumptions'!$C$33)^(X4-'Costs and Assumptions'!$G$14)</f>
        <v>1.2510629303881029</v>
      </c>
      <c r="Y31" s="13">
        <f>(1+'Costs and Assumptions'!$C$33)^(Y4-'Costs and Assumptions'!$G$14)</f>
        <v>1.2623224967615956</v>
      </c>
      <c r="Z31" s="13">
        <f>(1+'Costs and Assumptions'!$C$33)^(Z4-'Costs and Assumptions'!$G$14)</f>
        <v>1.2736833992324499</v>
      </c>
      <c r="AA31" s="13">
        <f>(1+'Costs and Assumptions'!$C$33)^(AA4-'Costs and Assumptions'!$G$14)</f>
        <v>1.2851465498255421</v>
      </c>
      <c r="AB31" s="13">
        <f>(1+'Costs and Assumptions'!$C$33)^(AB4-'Costs and Assumptions'!$G$14)</f>
        <v>1.296712868773972</v>
      </c>
      <c r="AC31" s="13">
        <f>(1+'Costs and Assumptions'!$C$33)^(AC4-'Costs and Assumptions'!$G$14)</f>
        <v>1.3083832845929375</v>
      </c>
      <c r="AD31" s="13">
        <f>(1+'Costs and Assumptions'!$C$33)^(AD4-'Costs and Assumptions'!$G$14)</f>
        <v>1.3201587341542735</v>
      </c>
      <c r="AE31" s="13">
        <f>(1+'Costs and Assumptions'!$C$33)^(AE4-'Costs and Assumptions'!$G$14)</f>
        <v>1.332040162761662</v>
      </c>
      <c r="AF31" s="13">
        <f>(1+'Costs and Assumptions'!$C$33)^(AF4-'Costs and Assumptions'!$G$14)</f>
        <v>1.3440285242265169</v>
      </c>
      <c r="AG31" s="13">
        <f>(1+'Costs and Assumptions'!$C$33)^(AG4-'Costs and Assumptions'!$G$14)</f>
        <v>1.3561247809445554</v>
      </c>
    </row>
    <row r="32" spans="1:33" s="12" customFormat="1">
      <c r="A32" s="167"/>
      <c r="B32" s="11" t="s">
        <v>168</v>
      </c>
      <c r="C32" s="34"/>
      <c r="D32" s="52">
        <f>D31*'Costs and Assumptions'!$G$31*(D12/('No Purchase Scenario'!D11+'No Purchase Scenario'!D12))</f>
        <v>239184.36638484313</v>
      </c>
      <c r="E32" s="52">
        <f>E31*'Costs and Assumptions'!$G$31*(E12/('No Purchase Scenario'!E11+'No Purchase Scenario'!E12))</f>
        <v>241337.0256823067</v>
      </c>
      <c r="F32" s="52">
        <f>F31*'Costs and Assumptions'!$G$31*(F12/('No Purchase Scenario'!F11+'No Purchase Scenario'!F12))</f>
        <v>243509.05891344737</v>
      </c>
      <c r="G32" s="52">
        <f>G31*'Costs and Assumptions'!$G$31*(G12/('No Purchase Scenario'!G11+'No Purchase Scenario'!G12))</f>
        <v>245700.64044366841</v>
      </c>
      <c r="H32" s="52">
        <f>H31*'Costs and Assumptions'!$G$31*(H12/('No Purchase Scenario'!H11+'No Purchase Scenario'!H12))</f>
        <v>247911.94620766139</v>
      </c>
      <c r="I32" s="52">
        <f>I31*'Costs and Assumptions'!$G$31*(I12/('No Purchase Scenario'!I11+'No Purchase Scenario'!I12))</f>
        <v>250143.15372353033</v>
      </c>
      <c r="J32" s="52">
        <f>J31*'Costs and Assumptions'!$G$31*(J12/('No Purchase Scenario'!J11+'No Purchase Scenario'!J12))</f>
        <v>252394.44210704206</v>
      </c>
      <c r="K32" s="34">
        <f>K31*'Costs and Assumptions'!$G$31*(K12/('No Purchase Scenario'!K11+'No Purchase Scenario'!K12))</f>
        <v>254665.99208600548</v>
      </c>
      <c r="L32" s="34">
        <f>L31*'Costs and Assumptions'!$G$31*(L12/('No Purchase Scenario'!L11+'No Purchase Scenario'!L12))</f>
        <v>256957.98601477951</v>
      </c>
      <c r="M32" s="34">
        <f>M31*'Costs and Assumptions'!$G$31*(M12/('No Purchase Scenario'!M11+'No Purchase Scenario'!M12))</f>
        <v>259270.60788891249</v>
      </c>
      <c r="N32" s="34">
        <f>N31*'Costs and Assumptions'!$G$31*(N12/('No Purchase Scenario'!N11+'No Purchase Scenario'!N12))</f>
        <v>261604.04335991264</v>
      </c>
      <c r="O32" s="34">
        <f>O31*'Costs and Assumptions'!$G$31*(O12/('No Purchase Scenario'!O11+'No Purchase Scenario'!O12))</f>
        <v>263958.47975015186</v>
      </c>
      <c r="P32" s="34">
        <f>P31*'Costs and Assumptions'!$G$31*(P12/('No Purchase Scenario'!P11+'No Purchase Scenario'!P12))</f>
        <v>266334.10606790322</v>
      </c>
      <c r="Q32" s="34">
        <f>Q31*'Costs and Assumptions'!$G$31*(Q12/('No Purchase Scenario'!Q11+'No Purchase Scenario'!Q12))</f>
        <v>268731.11302251433</v>
      </c>
      <c r="R32" s="34">
        <f>R31*'Costs and Assumptions'!$G$31*(R12/('No Purchase Scenario'!R11+'No Purchase Scenario'!R12))</f>
        <v>271149.69303971686</v>
      </c>
      <c r="S32" s="34">
        <f>S31*'Costs and Assumptions'!$G$31*(S12/('No Purchase Scenario'!S11+'No Purchase Scenario'!S12))</f>
        <v>273590.04027707438</v>
      </c>
      <c r="T32" s="34">
        <f>T31*'Costs and Assumptions'!$G$31*(T12/('No Purchase Scenario'!T11+'No Purchase Scenario'!T12))</f>
        <v>276052.350639568</v>
      </c>
      <c r="U32" s="34">
        <f>U31*'Costs and Assumptions'!$G$31*(U12/('No Purchase Scenario'!U11+'No Purchase Scenario'!U12))</f>
        <v>278536.8217953241</v>
      </c>
      <c r="V32" s="34">
        <f>V31*'Costs and Assumptions'!$G$31*(V12/('No Purchase Scenario'!V11+'No Purchase Scenario'!V12))</f>
        <v>281043.65319148195</v>
      </c>
      <c r="W32" s="34">
        <f>W31*'Costs and Assumptions'!$G$31*(W12/('No Purchase Scenario'!W11+'No Purchase Scenario'!W12))</f>
        <v>283573.04607020534</v>
      </c>
      <c r="X32" s="34">
        <f>X31*'Costs and Assumptions'!$G$31*(X12/('No Purchase Scenario'!X11+'No Purchase Scenario'!X12))</f>
        <v>286125.20348483708</v>
      </c>
      <c r="Y32" s="34">
        <f>Y31*'Costs and Assumptions'!$G$31*(Y12/('No Purchase Scenario'!Y11+'No Purchase Scenario'!Y12))</f>
        <v>288700.33031620056</v>
      </c>
      <c r="Z32" s="34">
        <f>Z31*'Costs and Assumptions'!$G$31*(Z12/('No Purchase Scenario'!Z11+'No Purchase Scenario'!Z12))</f>
        <v>291298.63328904635</v>
      </c>
      <c r="AA32" s="34">
        <f>AA31*'Costs and Assumptions'!$G$31*(AA12/('No Purchase Scenario'!AA11+'No Purchase Scenario'!AA12))</f>
        <v>293920.32098864781</v>
      </c>
      <c r="AB32" s="34">
        <f>AB31*'Costs and Assumptions'!$G$31*(AB12/('No Purchase Scenario'!AB11+'No Purchase Scenario'!AB12))</f>
        <v>296565.60387754563</v>
      </c>
      <c r="AC32" s="34">
        <f>AC31*'Costs and Assumptions'!$G$31*(AC12/('No Purchase Scenario'!AC11+'No Purchase Scenario'!AC12))</f>
        <v>299234.69431244349</v>
      </c>
      <c r="AD32" s="34">
        <f>AD31*'Costs and Assumptions'!$G$31*(AD12/('No Purchase Scenario'!AD11+'No Purchase Scenario'!AD12))</f>
        <v>301927.80656125542</v>
      </c>
      <c r="AE32" s="34">
        <f>AE31*'Costs and Assumptions'!$G$31*(AE12/('No Purchase Scenario'!AE11+'No Purchase Scenario'!AE12))</f>
        <v>304645.15682030673</v>
      </c>
      <c r="AF32" s="34">
        <f>AF31*'Costs and Assumptions'!$G$31*(AF12/('No Purchase Scenario'!AF11+'No Purchase Scenario'!AF12))</f>
        <v>307386.96323168947</v>
      </c>
      <c r="AG32" s="34">
        <f>AG31*'Costs and Assumptions'!$G$31*(AG12/('No Purchase Scenario'!AG11+'No Purchase Scenario'!AG12))</f>
        <v>310153.44590077462</v>
      </c>
    </row>
    <row r="33" spans="1:35" s="70" customFormat="1">
      <c r="A33" s="69"/>
      <c r="B33" s="70" t="s">
        <v>169</v>
      </c>
      <c r="C33" s="71">
        <f t="shared" ref="C33:AG33" si="4">C30+C32</f>
        <v>0</v>
      </c>
      <c r="D33" s="61">
        <f>D30+D32</f>
        <v>1564826.774298911</v>
      </c>
      <c r="E33" s="61">
        <f t="shared" si="4"/>
        <v>1673030.8262295001</v>
      </c>
      <c r="F33" s="61">
        <f t="shared" si="4"/>
        <v>1789738.3635044165</v>
      </c>
      <c r="G33" s="61">
        <f t="shared" si="4"/>
        <v>1915628.2894019152</v>
      </c>
      <c r="H33" s="61">
        <f t="shared" si="4"/>
        <v>2051433.8070825678</v>
      </c>
      <c r="I33" s="61">
        <f t="shared" si="4"/>
        <v>2197946.7634684294</v>
      </c>
      <c r="J33" s="61">
        <f t="shared" si="4"/>
        <v>2356022.3406315334</v>
      </c>
      <c r="K33" s="71">
        <f t="shared" si="4"/>
        <v>2526584.1224924559</v>
      </c>
      <c r="L33" s="71">
        <f t="shared" si="4"/>
        <v>3371631.4191853008</v>
      </c>
      <c r="M33" s="71">
        <f t="shared" si="4"/>
        <v>3685411.3843764863</v>
      </c>
      <c r="N33" s="71">
        <f t="shared" si="4"/>
        <v>4030358.8974962439</v>
      </c>
      <c r="O33" s="71">
        <f t="shared" si="4"/>
        <v>4409588.819300117</v>
      </c>
      <c r="P33" s="71">
        <f t="shared" si="4"/>
        <v>4826527.4795728642</v>
      </c>
      <c r="Q33" s="71">
        <f t="shared" si="4"/>
        <v>5284943.8238779726</v>
      </c>
      <c r="R33" s="71">
        <f t="shared" si="4"/>
        <v>5788983.6749807224</v>
      </c>
      <c r="S33" s="71">
        <f t="shared" si="4"/>
        <v>6343207.4204121791</v>
      </c>
      <c r="T33" s="71">
        <f t="shared" si="4"/>
        <v>6952631.4687881842</v>
      </c>
      <c r="U33" s="71">
        <f t="shared" si="4"/>
        <v>7622773.8517588023</v>
      </c>
      <c r="V33" s="71">
        <f t="shared" si="4"/>
        <v>8359704.3861513091</v>
      </c>
      <c r="W33" s="71">
        <f t="shared" si="4"/>
        <v>9170099.8523260131</v>
      </c>
      <c r="X33" s="71">
        <f t="shared" si="4"/>
        <v>10061304.690366229</v>
      </c>
      <c r="Y33" s="71">
        <f t="shared" si="4"/>
        <v>11041397.765885733</v>
      </c>
      <c r="Z33" s="71">
        <f t="shared" si="4"/>
        <v>12119265.812415533</v>
      </c>
      <c r="AA33" s="71">
        <f t="shared" si="4"/>
        <v>13304684.218027782</v>
      </c>
      <c r="AB33" s="71">
        <f t="shared" si="4"/>
        <v>14608405.890620595</v>
      </c>
      <c r="AC33" s="71">
        <f t="shared" si="4"/>
        <v>16042259.009729801</v>
      </c>
      <c r="AD33" s="71">
        <f t="shared" si="4"/>
        <v>17619254.553520348</v>
      </c>
      <c r="AE33" s="71">
        <f t="shared" si="4"/>
        <v>19353704.578475311</v>
      </c>
      <c r="AF33" s="71">
        <f t="shared" si="4"/>
        <v>21261352.327052195</v>
      </c>
      <c r="AG33" s="71">
        <f t="shared" si="4"/>
        <v>23359515.346103333</v>
      </c>
    </row>
    <row r="34" spans="1:35" s="70" customFormat="1">
      <c r="A34" s="69"/>
      <c r="C34" s="71"/>
      <c r="D34" s="61"/>
      <c r="E34" s="61"/>
      <c r="F34" s="61"/>
      <c r="G34" s="61"/>
      <c r="H34" s="61"/>
      <c r="I34" s="61"/>
      <c r="J34" s="61"/>
      <c r="K34" s="71"/>
      <c r="L34" s="71"/>
      <c r="M34" s="71"/>
      <c r="N34" s="71"/>
      <c r="O34" s="71"/>
      <c r="P34" s="71"/>
      <c r="Q34" s="71"/>
      <c r="R34" s="71"/>
      <c r="S34" s="71"/>
      <c r="T34" s="71"/>
      <c r="U34" s="71"/>
      <c r="V34" s="71"/>
      <c r="W34" s="71"/>
      <c r="X34" s="71"/>
      <c r="Y34" s="71"/>
      <c r="Z34" s="71"/>
      <c r="AA34" s="71"/>
      <c r="AB34" s="71"/>
      <c r="AC34" s="71"/>
      <c r="AD34" s="71"/>
      <c r="AE34" s="71"/>
      <c r="AF34" s="71"/>
      <c r="AG34" s="71"/>
    </row>
    <row r="35" spans="1:35" s="70" customFormat="1">
      <c r="A35" s="69"/>
      <c r="B35" s="70" t="s">
        <v>197</v>
      </c>
      <c r="C35" s="71"/>
      <c r="D35" s="61">
        <f>D8*'Costs and Assumptions'!$F$8*D29</f>
        <v>0</v>
      </c>
      <c r="E35" s="61">
        <f>E8*'Costs and Assumptions'!$F$8*E29</f>
        <v>0</v>
      </c>
      <c r="F35" s="61">
        <f>F8*'Costs and Assumptions'!$F$8*F29</f>
        <v>0</v>
      </c>
      <c r="G35" s="61">
        <f>G8*'Costs and Assumptions'!$F$8*G29</f>
        <v>0</v>
      </c>
      <c r="H35" s="61">
        <f>H8*'Costs and Assumptions'!$F$8*H29</f>
        <v>0</v>
      </c>
      <c r="I35" s="61">
        <f>I8*'Costs and Assumptions'!$F$8*I29</f>
        <v>0</v>
      </c>
      <c r="J35" s="61">
        <f>J8*'Costs and Assumptions'!$F$8*J29</f>
        <v>0</v>
      </c>
      <c r="K35" s="61">
        <f>K8*'Costs and Assumptions'!$F$8*K29</f>
        <v>0</v>
      </c>
      <c r="L35" s="61">
        <f>L8*'Costs and Assumptions'!$F$8*L29</f>
        <v>0</v>
      </c>
      <c r="M35" s="61">
        <f>M8*'Costs and Assumptions'!$F$8*M29</f>
        <v>0</v>
      </c>
      <c r="N35" s="61">
        <f>N8*'Costs and Assumptions'!$F$8*N29</f>
        <v>0</v>
      </c>
      <c r="O35" s="61">
        <f>O8*'Costs and Assumptions'!$F$8*O29</f>
        <v>0</v>
      </c>
      <c r="P35" s="61">
        <f>P8*'Costs and Assumptions'!$F$8*P29</f>
        <v>0</v>
      </c>
      <c r="Q35" s="61">
        <f>Q8*'Costs and Assumptions'!$F$8*Q29</f>
        <v>0</v>
      </c>
      <c r="R35" s="61">
        <f>R8*'Costs and Assumptions'!$F$8*R29</f>
        <v>0</v>
      </c>
      <c r="S35" s="61">
        <f>S8*'Costs and Assumptions'!$F$8*S29</f>
        <v>12008587.409546213</v>
      </c>
      <c r="T35" s="61">
        <f>T8*'Costs and Assumptions'!$F$8*T29</f>
        <v>0</v>
      </c>
      <c r="U35" s="61">
        <f>U8*'Costs and Assumptions'!$F$8*U29</f>
        <v>0</v>
      </c>
      <c r="V35" s="61">
        <f>V8*'Costs and Assumptions'!$F$8*V29</f>
        <v>0</v>
      </c>
      <c r="W35" s="61">
        <f>W8*'Costs and Assumptions'!$F$8*W29</f>
        <v>0</v>
      </c>
      <c r="X35" s="61">
        <f>X8*'Costs and Assumptions'!$F$8*X29</f>
        <v>0</v>
      </c>
      <c r="Y35" s="61">
        <f>Y8*'Costs and Assumptions'!$F$8*Y29</f>
        <v>0</v>
      </c>
      <c r="Z35" s="61">
        <f>Z8*'Costs and Assumptions'!$F$8*Z29</f>
        <v>23401339.631827421</v>
      </c>
      <c r="AA35" s="61">
        <f>AA8*'Costs and Assumptions'!$F$8*AA29</f>
        <v>0</v>
      </c>
      <c r="AB35" s="61">
        <f>AB8*'Costs and Assumptions'!$F$8*AB29</f>
        <v>0</v>
      </c>
      <c r="AC35" s="61">
        <f>AC8*'Costs and Assumptions'!$F$8*AC29</f>
        <v>0</v>
      </c>
      <c r="AD35" s="61">
        <f>AD8*'Costs and Assumptions'!$F$8*AD29</f>
        <v>0</v>
      </c>
      <c r="AE35" s="61">
        <f>AE8*'Costs and Assumptions'!$F$8*AE29</f>
        <v>0</v>
      </c>
      <c r="AF35" s="61">
        <f>AF8*'Costs and Assumptions'!$F$8*AF29</f>
        <v>0</v>
      </c>
      <c r="AG35" s="61">
        <f>AG8*'Costs and Assumptions'!$F$8*AG29</f>
        <v>0</v>
      </c>
      <c r="AH35" s="61"/>
      <c r="AI35" s="61"/>
    </row>
    <row r="36" spans="1:35" s="40" customForma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row>
    <row r="37" spans="1:35" s="63" customFormat="1">
      <c r="A37" s="62"/>
      <c r="B37" s="63" t="s">
        <v>170</v>
      </c>
      <c r="C37" s="64"/>
      <c r="D37" s="65">
        <f>D33+D19+D25+D27+D35</f>
        <v>2034715.8225848624</v>
      </c>
      <c r="E37" s="65">
        <f>E33+E19+E25+E27+E35</f>
        <v>2176561.5668756184</v>
      </c>
      <c r="F37" s="65">
        <f>F33+F19+F25+F27+F35</f>
        <v>2329566.5870159906</v>
      </c>
      <c r="G37" s="65">
        <f>G33+G19+G25+G27+G35</f>
        <v>2494621.9296207055</v>
      </c>
      <c r="H37" s="65">
        <f>H33+H19+H25+H27+H35</f>
        <v>2672689.9097745884</v>
      </c>
      <c r="I37" s="65">
        <f>I33+I19+I25+I27+I35</f>
        <v>2864809.81237284</v>
      </c>
      <c r="J37" s="65">
        <f>J33+J19+J25+J27+J35</f>
        <v>3072104.049567299</v>
      </c>
      <c r="K37" s="65">
        <f>K33+K19+K25+K27+K35</f>
        <v>3295784.8108071554</v>
      </c>
      <c r="L37" s="65">
        <f>L33+L19+L25+L27+L35</f>
        <v>4404726.1760668363</v>
      </c>
      <c r="M37" s="65">
        <f>M33+M19+M25+M27+M35</f>
        <v>4816377.5198257426</v>
      </c>
      <c r="N37" s="65">
        <f>N33+N19+N25+N27+N35</f>
        <v>5268934.6064959094</v>
      </c>
      <c r="O37" s="65">
        <f>O33+O19+O25+O27+O35</f>
        <v>5766485.6758452812</v>
      </c>
      <c r="P37" s="65">
        <f>P33+P19+P25+P27+P35</f>
        <v>6313527.7706078868</v>
      </c>
      <c r="Q37" s="65">
        <f>Q33+Q19+Q25+Q27+Q35</f>
        <v>6915007.6165913586</v>
      </c>
      <c r="R37" s="65">
        <f>R33+R19+R25+R27+R35</f>
        <v>7576366.5907934811</v>
      </c>
      <c r="S37" s="65">
        <f>S33+S19+S25+S27+S35</f>
        <v>32320765.005421124</v>
      </c>
      <c r="T37" s="65">
        <f>T33+T19+T25+T27+T35</f>
        <v>9103262.4238455445</v>
      </c>
      <c r="U37" s="65">
        <f>U33+U19+U25+U27+U35</f>
        <v>9982625.7040840313</v>
      </c>
      <c r="V37" s="65">
        <f>V33+V19+V25+V27+V35</f>
        <v>10949646.645687051</v>
      </c>
      <c r="W37" s="65">
        <f>W33+W19+W25+W27+W35</f>
        <v>12013088.506791122</v>
      </c>
      <c r="X37" s="65">
        <f>X33+X19+X25+X27+X35</f>
        <v>13182590.848774426</v>
      </c>
      <c r="Y37" s="65">
        <f>Y33+Y19+Y25+Y27+Y35</f>
        <v>14468757.166377792</v>
      </c>
      <c r="Z37" s="65">
        <f>Z33+Z19+Z25+Z27+Z35</f>
        <v>62685930.544490874</v>
      </c>
      <c r="AA37" s="65">
        <f>AA33+AA19+AA25+AA27+AA35</f>
        <v>17438903.372320473</v>
      </c>
      <c r="AB37" s="65">
        <f>AB33+AB19+AB25+AB27+AB35</f>
        <v>19149826.61562397</v>
      </c>
      <c r="AC37" s="65">
        <f>AC33+AC19+AC25+AC27+AC35</f>
        <v>21031545.479412463</v>
      </c>
      <c r="AD37" s="65">
        <f>AD33+AD19+AD25+AD27+AD35</f>
        <v>23101136.855399836</v>
      </c>
      <c r="AE37" s="65">
        <f>AE33+AE19+AE25+AE27+AE35</f>
        <v>25377385.300438363</v>
      </c>
      <c r="AF37" s="65">
        <f>AF33+AF19+AF25+AF27+AF35</f>
        <v>27880953.802816227</v>
      </c>
      <c r="AG37" s="65">
        <f>AG33+AG19+AG25+AG27+AG35</f>
        <v>30634571.625182889</v>
      </c>
    </row>
    <row r="38" spans="1:35" s="63" customFormat="1">
      <c r="A38" s="62"/>
      <c r="B38" s="38" t="s">
        <v>171</v>
      </c>
      <c r="C38" s="39">
        <f>SUM(D37:AG37)</f>
        <v>391323270.34151167</v>
      </c>
      <c r="D38" s="39"/>
      <c r="E38" s="65"/>
      <c r="F38" s="65"/>
      <c r="G38" s="65"/>
      <c r="H38" s="65"/>
      <c r="I38" s="65"/>
      <c r="J38" s="65"/>
      <c r="K38" s="65"/>
      <c r="L38" s="66"/>
      <c r="M38" s="66"/>
      <c r="N38" s="66"/>
      <c r="O38" s="66"/>
      <c r="P38" s="66"/>
      <c r="Q38" s="66"/>
      <c r="R38" s="66"/>
      <c r="S38" s="66"/>
      <c r="T38" s="66"/>
      <c r="U38" s="66"/>
      <c r="V38" s="66"/>
      <c r="W38" s="66"/>
      <c r="X38" s="66"/>
      <c r="Y38" s="66"/>
      <c r="Z38" s="66"/>
      <c r="AA38" s="66"/>
      <c r="AB38" s="66"/>
      <c r="AC38" s="66"/>
      <c r="AD38" s="66"/>
      <c r="AE38" s="66"/>
      <c r="AF38" s="66"/>
      <c r="AG38" s="66"/>
    </row>
    <row r="39" spans="1:35" s="63" customFormat="1">
      <c r="A39" s="62"/>
      <c r="B39" s="38"/>
      <c r="C39" s="39"/>
      <c r="D39" s="39"/>
      <c r="E39" s="65"/>
      <c r="F39" s="65"/>
      <c r="G39" s="65"/>
      <c r="H39" s="65"/>
      <c r="I39" s="65"/>
      <c r="J39" s="65"/>
      <c r="K39" s="65"/>
      <c r="L39" s="66"/>
      <c r="M39" s="66"/>
      <c r="N39" s="66"/>
      <c r="O39" s="66"/>
      <c r="P39" s="66"/>
      <c r="Q39" s="66"/>
      <c r="R39" s="66"/>
      <c r="S39" s="66"/>
      <c r="T39" s="66"/>
      <c r="U39" s="66"/>
      <c r="V39" s="66"/>
      <c r="W39" s="66"/>
      <c r="X39" s="66"/>
      <c r="Y39" s="66"/>
      <c r="Z39" s="66"/>
      <c r="AA39" s="66"/>
      <c r="AB39" s="66"/>
      <c r="AC39" s="66"/>
      <c r="AD39" s="66"/>
      <c r="AE39" s="66"/>
      <c r="AF39" s="66"/>
      <c r="AG39" s="66"/>
    </row>
    <row r="40" spans="1:35" s="89" customFormat="1">
      <c r="A40" s="85"/>
      <c r="B40" s="86" t="s">
        <v>172</v>
      </c>
      <c r="C40" s="87"/>
      <c r="D40" s="88">
        <f>(D11/(D12+D11))*'Costs and Assumptions'!$C$25*Emissions!$C$71*D5</f>
        <v>0</v>
      </c>
      <c r="E40" s="88">
        <f>(E11/(E12+E11))*'Costs and Assumptions'!$C$25*Emissions!$C$71*E5</f>
        <v>0</v>
      </c>
      <c r="F40" s="88">
        <f>(F11/(F12+F11))*'Costs and Assumptions'!$C$25*Emissions!$C$71*F5</f>
        <v>0</v>
      </c>
      <c r="G40" s="88">
        <f>(G11/(G12+G11))*'Costs and Assumptions'!$C$25*Emissions!$C$71*G5</f>
        <v>0</v>
      </c>
      <c r="H40" s="88">
        <f>(H11/(H12+H11))*'Costs and Assumptions'!$C$25*Emissions!$C$71*H5</f>
        <v>0</v>
      </c>
      <c r="I40" s="88">
        <f>(I11/(I12+I11))*'Costs and Assumptions'!$C$25*Emissions!$C$71*I5</f>
        <v>0</v>
      </c>
      <c r="J40" s="88">
        <f>(J11/(J12+J11))*'Costs and Assumptions'!$C$25*Emissions!$C$71*J5</f>
        <v>0</v>
      </c>
      <c r="K40" s="88">
        <f>(K11/(K12+K11))*'Costs and Assumptions'!$C$25*Emissions!$C$71*K5</f>
        <v>0</v>
      </c>
      <c r="L40" s="88">
        <f>(L11/(L12+L11))*'Costs and Assumptions'!$C$25*Emissions!$C$71*L5</f>
        <v>0</v>
      </c>
      <c r="M40" s="88">
        <f>(M11/(M12+M11))*'Costs and Assumptions'!$C$25*Emissions!$C$71*M5</f>
        <v>0</v>
      </c>
      <c r="N40" s="88">
        <f>(N11/(N12+N11))*'Costs and Assumptions'!$C$25*Emissions!$C$71*N5</f>
        <v>0</v>
      </c>
      <c r="O40" s="88">
        <f>(O11/(O12+O11))*'Costs and Assumptions'!$C$25*Emissions!$C$71*O5</f>
        <v>0</v>
      </c>
      <c r="P40" s="88">
        <f>(P11/(P12+P11))*'Costs and Assumptions'!$C$25*Emissions!$C$71*P5</f>
        <v>0</v>
      </c>
      <c r="Q40" s="88">
        <f>(Q11/(Q12+Q11))*'Costs and Assumptions'!$C$25*Emissions!$C$71*Q5</f>
        <v>0</v>
      </c>
      <c r="R40" s="88">
        <f>(R11/(R12+R11))*'Costs and Assumptions'!$C$25*Emissions!$C$71*R5</f>
        <v>0</v>
      </c>
      <c r="S40" s="88">
        <f>(S11/(S12+S11))*'Costs and Assumptions'!$C$25*Emissions!$C$71*S5</f>
        <v>0</v>
      </c>
      <c r="T40" s="88">
        <f>(T11/(T12+T11))*'Costs and Assumptions'!$C$25*Emissions!$C$71*T5</f>
        <v>0</v>
      </c>
      <c r="U40" s="88">
        <f>(U11/(U12+U11))*'Costs and Assumptions'!$C$25*Emissions!$C$71*U5</f>
        <v>0</v>
      </c>
      <c r="V40" s="88">
        <f>(V11/(V12+V11))*'Costs and Assumptions'!$C$25*Emissions!$C$71*V5</f>
        <v>0</v>
      </c>
      <c r="W40" s="88">
        <f>(W11/(W12+W11))*'Costs and Assumptions'!$C$25*Emissions!$C$71*W5</f>
        <v>0</v>
      </c>
      <c r="X40" s="88">
        <f>(X11/(X12+X11))*'Costs and Assumptions'!$C$25*Emissions!$C$71*X5</f>
        <v>0</v>
      </c>
      <c r="Y40" s="88">
        <f>(Y11/(Y12+Y11))*'Costs and Assumptions'!$C$25*Emissions!$C$71*Y5</f>
        <v>0</v>
      </c>
      <c r="Z40" s="88">
        <f>(Z11/(Z12+Z11))*'Costs and Assumptions'!$C$25*Emissions!$C$71*Z5</f>
        <v>0</v>
      </c>
      <c r="AA40" s="88">
        <f>(AA11/(AA12+AA11))*'Costs and Assumptions'!$C$25*Emissions!$C$71*AA5</f>
        <v>0</v>
      </c>
      <c r="AB40" s="88">
        <f>(AB11/(AB12+AB11))*'Costs and Assumptions'!$C$25*Emissions!$C$71*AB5</f>
        <v>0</v>
      </c>
      <c r="AC40" s="88">
        <f>(AC11/(AC12+AC11))*'Costs and Assumptions'!$C$25*Emissions!$C$71*AC5</f>
        <v>0</v>
      </c>
      <c r="AD40" s="88">
        <f>(AD11/(AD12+AD11))*'Costs and Assumptions'!$C$25*Emissions!$C$71*AD5</f>
        <v>0</v>
      </c>
      <c r="AE40" s="88">
        <f>(AE11/(AE12+AE11))*'Costs and Assumptions'!$C$25*Emissions!$C$71*AE5</f>
        <v>0</v>
      </c>
      <c r="AF40" s="88">
        <f>(AF11/(AF12+AF11))*'Costs and Assumptions'!$C$25*Emissions!$C$71*AF5</f>
        <v>0</v>
      </c>
      <c r="AG40" s="88">
        <f>(AG11/(AG12+AG11))*'Costs and Assumptions'!$C$25*Emissions!$C$71*AG5</f>
        <v>0</v>
      </c>
    </row>
    <row r="41" spans="1:35" s="89" customFormat="1">
      <c r="A41" s="85"/>
      <c r="B41" s="86" t="s">
        <v>174</v>
      </c>
      <c r="C41" s="87"/>
      <c r="D41" s="88">
        <f>(D12/(D12+D11))*'Costs and Assumptions'!$C$27*Emissions!$C$76*D5</f>
        <v>46900.236507273767</v>
      </c>
      <c r="E41" s="88">
        <f>(E12/(E12+E11))*'Costs and Assumptions'!$C$27*Emissions!$C$76*E5</f>
        <v>47913.281615830878</v>
      </c>
      <c r="F41" s="88">
        <f>(F12/(F12+F11))*'Costs and Assumptions'!$C$27*Emissions!$C$76*F5</f>
        <v>48948.208498732827</v>
      </c>
      <c r="G41" s="88">
        <f>(G12/(G12+G11))*'Costs and Assumptions'!$C$27*Emissions!$C$76*G5</f>
        <v>50005.48980230547</v>
      </c>
      <c r="H41" s="88">
        <f>(H12/(H12+H11))*'Costs and Assumptions'!$C$27*Emissions!$C$76*H5</f>
        <v>51085.608382035265</v>
      </c>
      <c r="I41" s="88">
        <f>(I12/(I12+I11))*'Costs and Assumptions'!$C$27*Emissions!$C$76*I5</f>
        <v>52189.057523087227</v>
      </c>
      <c r="J41" s="88">
        <f>(J12/(J12+J11))*'Costs and Assumptions'!$C$27*Emissions!$C$76*J5</f>
        <v>53316.341165585924</v>
      </c>
      <c r="K41" s="88">
        <f>(K12/(K12+K11))*'Costs and Assumptions'!$C$27*Emissions!$C$76*K5</f>
        <v>54467.974134762575</v>
      </c>
      <c r="L41" s="88">
        <f>(L12/(L12+L11))*'Costs and Assumptions'!$C$27*Emissions!$C$76*L5</f>
        <v>55644.482376073451</v>
      </c>
      <c r="M41" s="88">
        <f>(M12/(M12+M11))*'Costs and Assumptions'!$C$27*Emissions!$C$76*M5</f>
        <v>56846.403195396641</v>
      </c>
      <c r="N41" s="88">
        <f>(N12/(N12+N11))*'Costs and Assumptions'!$C$27*Emissions!$C$76*N5</f>
        <v>58074.285504417217</v>
      </c>
      <c r="O41" s="88">
        <f>(O12/(O12+O11))*'Costs and Assumptions'!$C$27*Emissions!$C$76*O5</f>
        <v>59328.690071312631</v>
      </c>
      <c r="P41" s="88">
        <f>(P12/(P12+P11))*'Costs and Assumptions'!$C$27*Emissions!$C$76*P5</f>
        <v>60610.189776852989</v>
      </c>
      <c r="Q41" s="88">
        <f>(Q12/(Q12+Q11))*'Costs and Assumptions'!$C$27*Emissions!$C$76*Q5</f>
        <v>61919.369876033023</v>
      </c>
      <c r="R41" s="88">
        <f>(R12/(R12+R11))*'Costs and Assumptions'!$C$27*Emissions!$C$76*R5</f>
        <v>63256.828265355332</v>
      </c>
      <c r="S41" s="88">
        <f>(S12/(S12+S11))*'Costs and Assumptions'!$C$27*Emissions!$C$76*S5</f>
        <v>64623.175755887016</v>
      </c>
      <c r="T41" s="88">
        <f>(T12/(T12+T11))*'Costs and Assumptions'!$C$27*Emissions!$C$76*T5</f>
        <v>66019.036352214171</v>
      </c>
      <c r="U41" s="88">
        <f>(U12/(U12+U11))*'Costs and Assumptions'!$C$27*Emissions!$C$76*U5</f>
        <v>67445.047537421997</v>
      </c>
      <c r="V41" s="88">
        <f>(V12/(V12+V11))*'Costs and Assumptions'!$C$27*Emissions!$C$76*V5</f>
        <v>68901.86056423033</v>
      </c>
      <c r="W41" s="88">
        <f>(W12/(W12+W11))*'Costs and Assumptions'!$C$27*Emissions!$C$76*W5</f>
        <v>70390.140752417705</v>
      </c>
      <c r="X41" s="88">
        <f>(X12/(X12+X11))*'Costs and Assumptions'!$C$27*Emissions!$C$76*X5</f>
        <v>71910.567792669928</v>
      </c>
      <c r="Y41" s="88">
        <f>(Y12/(Y12+Y11))*'Costs and Assumptions'!$C$27*Emissions!$C$76*Y5</f>
        <v>73463.836056991611</v>
      </c>
      <c r="Z41" s="88">
        <f>(Z12/(Z12+Z11))*'Costs and Assumptions'!$C$27*Emissions!$C$76*Z5</f>
        <v>75050.654915822626</v>
      </c>
      <c r="AA41" s="88">
        <f>(AA12/(AA12+AA11))*'Costs and Assumptions'!$C$27*Emissions!$C$76*AA5</f>
        <v>76671.749062004412</v>
      </c>
      <c r="AB41" s="88">
        <f>(AB12/(AB12+AB11))*'Costs and Assumptions'!$C$27*Emissions!$C$76*AB5</f>
        <v>78327.858841743699</v>
      </c>
      <c r="AC41" s="88">
        <f>(AC12/(AC12+AC11))*'Costs and Assumptions'!$C$27*Emissions!$C$76*AC5</f>
        <v>80019.740592725371</v>
      </c>
      <c r="AD41" s="88">
        <f>(AD12/(AD12+AD11))*'Costs and Assumptions'!$C$27*Emissions!$C$76*AD5</f>
        <v>81748.166989528254</v>
      </c>
      <c r="AE41" s="88">
        <f>(AE12/(AE12+AE11))*'Costs and Assumptions'!$C$27*Emissions!$C$76*AE5</f>
        <v>83513.927396502069</v>
      </c>
      <c r="AF41" s="88">
        <f>(AF12/(AF12+AF11))*'Costs and Assumptions'!$C$27*Emissions!$C$76*AF5</f>
        <v>85317.828228266517</v>
      </c>
      <c r="AG41" s="88">
        <f>(AG12/(AG12+AG11))*'Costs and Assumptions'!$C$27*Emissions!$C$76*AG5</f>
        <v>87160.69331799708</v>
      </c>
    </row>
    <row r="42" spans="1:35" s="89" customFormat="1">
      <c r="A42" s="85"/>
      <c r="B42" s="86" t="s">
        <v>198</v>
      </c>
      <c r="C42" s="87"/>
      <c r="D42" s="88">
        <f>(D12/(D12+D11))*'Costs and Assumptions'!$C$28*Emissions!$C$81*D5</f>
        <v>12072.483760686029</v>
      </c>
      <c r="E42" s="88">
        <f>(E12/(E12+E11))*'Costs and Assumptions'!$C$28*Emissions!$C$81*E5</f>
        <v>12333.249409916847</v>
      </c>
      <c r="F42" s="88">
        <f>(F12/(F12+F11))*'Costs and Assumptions'!$C$28*Emissions!$C$81*F5</f>
        <v>12599.647597171052</v>
      </c>
      <c r="G42" s="88">
        <f>(G12/(G12+G11))*'Costs and Assumptions'!$C$28*Emissions!$C$81*G5</f>
        <v>12871.799985269949</v>
      </c>
      <c r="H42" s="88">
        <f>(H12/(H12+H11))*'Costs and Assumptions'!$C$28*Emissions!$C$81*H5</f>
        <v>13149.83086495178</v>
      </c>
      <c r="I42" s="88">
        <f>(I12/(I12+I11))*'Costs and Assumptions'!$C$28*Emissions!$C$81*I5</f>
        <v>13433.867211634739</v>
      </c>
      <c r="J42" s="88">
        <f>(J12/(J12+J11))*'Costs and Assumptions'!$C$28*Emissions!$C$81*J5</f>
        <v>13724.038743406052</v>
      </c>
      <c r="K42" s="88">
        <f>(K12/(K12+K11))*'Costs and Assumptions'!$C$28*Emissions!$C$81*K5</f>
        <v>14020.477980263622</v>
      </c>
      <c r="L42" s="88">
        <f>(L12/(L12+L11))*'Costs and Assumptions'!$C$28*Emissions!$C$81*L5</f>
        <v>14323.320304637316</v>
      </c>
      <c r="M42" s="88">
        <f>(M12/(M12+M11))*'Costs and Assumptions'!$C$28*Emissions!$C$81*M5</f>
        <v>14632.704023217482</v>
      </c>
      <c r="N42" s="88">
        <f>(N12/(N12+N11))*'Costs and Assumptions'!$C$28*Emissions!$C$81*N5</f>
        <v>14948.770430118984</v>
      </c>
      <c r="O42" s="88">
        <f>(O12/(O12+O11))*'Costs and Assumptions'!$C$28*Emissions!$C$81*O5</f>
        <v>15271.663871409555</v>
      </c>
      <c r="P42" s="88">
        <f>(P12/(P12+P11))*'Costs and Assumptions'!$C$28*Emissions!$C$81*P5</f>
        <v>15601.531811032002</v>
      </c>
      <c r="Q42" s="88">
        <f>(Q12/(Q12+Q11))*'Costs and Assumptions'!$C$28*Emissions!$C$81*Q5</f>
        <v>15938.524898150295</v>
      </c>
      <c r="R42" s="88">
        <f>(R12/(R12+R11))*'Costs and Assumptions'!$C$28*Emissions!$C$81*R5</f>
        <v>16282.797035950342</v>
      </c>
      <c r="S42" s="88">
        <f>(S12/(S12+S11))*'Costs and Assumptions'!$C$28*Emissions!$C$81*S5</f>
        <v>16634.505451926871</v>
      </c>
      <c r="T42" s="88">
        <f>(T12/(T12+T11))*'Costs and Assumptions'!$C$28*Emissions!$C$81*T5</f>
        <v>16993.810769688491</v>
      </c>
      <c r="U42" s="88">
        <f>(U12/(U12+U11))*'Costs and Assumptions'!$C$28*Emissions!$C$81*U5</f>
        <v>17360.87708231376</v>
      </c>
      <c r="V42" s="88">
        <f>(V12/(V12+V11))*'Costs and Assumptions'!$C$28*Emissions!$C$81*V5</f>
        <v>17735.872027291742</v>
      </c>
      <c r="W42" s="88">
        <f>(W12/(W12+W11))*'Costs and Assumptions'!$C$28*Emissions!$C$81*W5</f>
        <v>18118.966863081245</v>
      </c>
      <c r="X42" s="88">
        <f>(X12/(X12+X11))*'Costs and Assumptions'!$C$28*Emissions!$C$81*X5</f>
        <v>18510.336547323801</v>
      </c>
      <c r="Y42" s="88">
        <f>(Y12/(Y12+Y11))*'Costs and Assumptions'!$C$28*Emissions!$C$81*Y5</f>
        <v>18910.159816745996</v>
      </c>
      <c r="Z42" s="88">
        <f>(Z12/(Z12+Z11))*'Costs and Assumptions'!$C$28*Emissions!$C$81*Z5</f>
        <v>19318.619268787712</v>
      </c>
      <c r="AA42" s="88">
        <f>(AA12/(AA12+AA11))*'Costs and Assumptions'!$C$28*Emissions!$C$81*AA5</f>
        <v>19735.901444993528</v>
      </c>
      <c r="AB42" s="88">
        <f>(AB12/(AB12+AB11))*'Costs and Assumptions'!$C$28*Emissions!$C$81*AB5</f>
        <v>20162.196916205387</v>
      </c>
      <c r="AC42" s="88">
        <f>(AC12/(AC12+AC11))*'Costs and Assumptions'!$C$28*Emissions!$C$81*AC5</f>
        <v>20597.700369595423</v>
      </c>
      <c r="AD42" s="88">
        <f>(AD12/(AD12+AD11))*'Costs and Assumptions'!$C$28*Emissions!$C$81*AD5</f>
        <v>21042.61069757869</v>
      </c>
      <c r="AE42" s="88">
        <f>(AE12/(AE12+AE11))*'Costs and Assumptions'!$C$28*Emissions!$C$81*AE5</f>
        <v>21497.131088646391</v>
      </c>
      <c r="AF42" s="88">
        <f>(AF12/(AF12+AF11))*'Costs and Assumptions'!$C$28*Emissions!$C$81*AF5</f>
        <v>21961.469120161153</v>
      </c>
      <c r="AG42" s="88">
        <f>(AG12/(AG12+AG11))*'Costs and Assumptions'!$C$28*Emissions!$C$81*AG5</f>
        <v>22435.836853156638</v>
      </c>
    </row>
    <row r="43" spans="1:35" s="89" customFormat="1">
      <c r="A43" s="85"/>
      <c r="B43" s="86" t="s">
        <v>175</v>
      </c>
      <c r="C43" s="87"/>
      <c r="D43" s="88">
        <f>SUM(D40:D42)</f>
        <v>58972.720267959798</v>
      </c>
      <c r="E43" s="88">
        <f t="shared" ref="E43:AG43" si="5">SUM(E40:E42)</f>
        <v>60246.531025747725</v>
      </c>
      <c r="F43" s="88">
        <f t="shared" si="5"/>
        <v>61547.85609590388</v>
      </c>
      <c r="G43" s="88">
        <f t="shared" si="5"/>
        <v>62877.289787575421</v>
      </c>
      <c r="H43" s="88">
        <f t="shared" si="5"/>
        <v>64235.439246987044</v>
      </c>
      <c r="I43" s="88">
        <f t="shared" si="5"/>
        <v>65622.924734721964</v>
      </c>
      <c r="J43" s="88">
        <f t="shared" si="5"/>
        <v>67040.379908991978</v>
      </c>
      <c r="K43" s="88">
        <f t="shared" si="5"/>
        <v>68488.452115026201</v>
      </c>
      <c r="L43" s="88">
        <f t="shared" si="5"/>
        <v>69967.802680710767</v>
      </c>
      <c r="M43" s="88">
        <f t="shared" si="5"/>
        <v>71479.107218614125</v>
      </c>
      <c r="N43" s="88">
        <f t="shared" si="5"/>
        <v>73023.055934536198</v>
      </c>
      <c r="O43" s="88">
        <f t="shared" si="5"/>
        <v>74600.353942722184</v>
      </c>
      <c r="P43" s="88">
        <f t="shared" si="5"/>
        <v>76211.721587884997</v>
      </c>
      <c r="Q43" s="88">
        <f t="shared" si="5"/>
        <v>77857.894774183311</v>
      </c>
      <c r="R43" s="88">
        <f t="shared" si="5"/>
        <v>79539.62530130567</v>
      </c>
      <c r="S43" s="88">
        <f t="shared" si="5"/>
        <v>81257.68120781389</v>
      </c>
      <c r="T43" s="88">
        <f t="shared" si="5"/>
        <v>83012.847121902654</v>
      </c>
      <c r="U43" s="88">
        <f t="shared" si="5"/>
        <v>84805.924619735757</v>
      </c>
      <c r="V43" s="88">
        <f t="shared" si="5"/>
        <v>86637.732591522072</v>
      </c>
      <c r="W43" s="88">
        <f t="shared" si="5"/>
        <v>88509.107615498942</v>
      </c>
      <c r="X43" s="88">
        <f t="shared" si="5"/>
        <v>90420.904339993722</v>
      </c>
      <c r="Y43" s="88">
        <f t="shared" si="5"/>
        <v>92373.995873737615</v>
      </c>
      <c r="Z43" s="88">
        <f t="shared" si="5"/>
        <v>94369.274184610345</v>
      </c>
      <c r="AA43" s="88">
        <f t="shared" si="5"/>
        <v>96407.650506997947</v>
      </c>
      <c r="AB43" s="88">
        <f t="shared" si="5"/>
        <v>98490.055757949085</v>
      </c>
      <c r="AC43" s="88">
        <f t="shared" si="5"/>
        <v>100617.44096232079</v>
      </c>
      <c r="AD43" s="88">
        <f t="shared" si="5"/>
        <v>102790.77768710695</v>
      </c>
      <c r="AE43" s="88">
        <f t="shared" si="5"/>
        <v>105011.05848514846</v>
      </c>
      <c r="AF43" s="88">
        <f t="shared" si="5"/>
        <v>107279.29734842767</v>
      </c>
      <c r="AG43" s="88">
        <f t="shared" si="5"/>
        <v>109596.53017115372</v>
      </c>
    </row>
    <row r="44" spans="1:35" s="63" customFormat="1">
      <c r="A44" s="62"/>
      <c r="B44" s="38"/>
      <c r="C44" s="39"/>
      <c r="D44" s="39"/>
      <c r="E44" s="65"/>
      <c r="F44" s="65"/>
      <c r="G44" s="65"/>
      <c r="H44" s="65"/>
      <c r="I44" s="65"/>
      <c r="J44" s="65"/>
      <c r="K44" s="65"/>
      <c r="L44" s="66"/>
      <c r="M44" s="66"/>
      <c r="N44" s="66"/>
      <c r="O44" s="66"/>
      <c r="P44" s="66"/>
      <c r="Q44" s="66"/>
      <c r="R44" s="66"/>
      <c r="S44" s="66"/>
      <c r="T44" s="66"/>
      <c r="U44" s="66"/>
      <c r="V44" s="66"/>
      <c r="W44" s="66"/>
      <c r="X44" s="66"/>
      <c r="Y44" s="66"/>
      <c r="Z44" s="66"/>
      <c r="AA44" s="66"/>
      <c r="AB44" s="66"/>
      <c r="AC44" s="66"/>
      <c r="AD44" s="66"/>
      <c r="AE44" s="66"/>
      <c r="AF44" s="66"/>
      <c r="AG44" s="66"/>
    </row>
    <row r="45" spans="1:35" s="117" customFormat="1" hidden="1">
      <c r="A45" s="113"/>
      <c r="B45" s="115" t="s">
        <v>176</v>
      </c>
      <c r="C45" s="119">
        <f>(1-'Costs and Assumptions'!$C$44)^(C4-'Costs and Assumptions'!$G$14)</f>
        <v>0.97033581566406268</v>
      </c>
      <c r="D45" s="119">
        <f>(1-'Costs and Assumptions'!$C$44)^(D4-'Costs and Assumptions'!$G$14)</f>
        <v>0.9630582970465823</v>
      </c>
      <c r="E45" s="119">
        <f>(1-'Costs and Assumptions'!$C$44)^(E4-'Costs and Assumptions'!$G$14)</f>
        <v>0.95583535981873291</v>
      </c>
      <c r="F45" s="119">
        <f>(1-'Costs and Assumptions'!$C$44)^(F4-'Costs and Assumptions'!$G$14)</f>
        <v>0.94866659462009251</v>
      </c>
      <c r="G45" s="119">
        <f>(1-'Costs and Assumptions'!$C$44)^(G4-'Costs and Assumptions'!$G$14)</f>
        <v>0.94155159516044185</v>
      </c>
      <c r="H45" s="119">
        <f>(1-'Costs and Assumptions'!$C$44)^(H4-'Costs and Assumptions'!$G$14)</f>
        <v>0.93448995819673852</v>
      </c>
      <c r="I45" s="119">
        <f>(1-'Costs and Assumptions'!$C$44)^(I4-'Costs and Assumptions'!$G$14)</f>
        <v>0.92748128351026304</v>
      </c>
      <c r="J45" s="119">
        <f>(1-'Costs and Assumptions'!$C$44)^(J4-'Costs and Assumptions'!$G$14)</f>
        <v>0.92052517388393618</v>
      </c>
      <c r="K45" s="119">
        <f>(1-'Costs and Assumptions'!$C$44)^(K4-'Costs and Assumptions'!$G$14)</f>
        <v>0.91362123507980664</v>
      </c>
      <c r="L45" s="119">
        <f>(1-'Costs and Assumptions'!$C$44)^(L4-'Costs and Assumptions'!$G$14)</f>
        <v>0.90676907581670818</v>
      </c>
      <c r="M45" s="119">
        <f>(1-'Costs and Assumptions'!$C$44)^(M4-'Costs and Assumptions'!$G$14)</f>
        <v>0.8999683077480829</v>
      </c>
      <c r="N45" s="119">
        <f>(1-'Costs and Assumptions'!$C$44)^(N4-'Costs and Assumptions'!$G$14)</f>
        <v>0.89321854543997237</v>
      </c>
      <c r="O45" s="119">
        <f>(1-'Costs and Assumptions'!$C$44)^(O4-'Costs and Assumptions'!$G$14)</f>
        <v>0.88651940634917259</v>
      </c>
      <c r="P45" s="119">
        <f>(1-'Costs and Assumptions'!$C$44)^(P4-'Costs and Assumptions'!$G$14)</f>
        <v>0.87987051080155387</v>
      </c>
      <c r="Q45" s="119">
        <f>(1-'Costs and Assumptions'!$C$44)^(Q4-'Costs and Assumptions'!$G$14)</f>
        <v>0.87327148197054216</v>
      </c>
      <c r="R45" s="119">
        <f>(1-'Costs and Assumptions'!$C$44)^(R4-'Costs and Assumptions'!$G$14)</f>
        <v>0.86672194585576323</v>
      </c>
      <c r="S45" s="119">
        <f>(1-'Costs and Assumptions'!$C$44)^(S4-'Costs and Assumptions'!$G$14)</f>
        <v>0.86022153126184497</v>
      </c>
      <c r="T45" s="119">
        <f>(1-'Costs and Assumptions'!$C$44)^(T4-'Costs and Assumptions'!$G$14)</f>
        <v>0.85376986977738123</v>
      </c>
      <c r="U45" s="119">
        <f>(1-'Costs and Assumptions'!$C$44)^(U4-'Costs and Assumptions'!$G$14)</f>
        <v>0.84736659575405082</v>
      </c>
      <c r="V45" s="119">
        <f>(1-'Costs and Assumptions'!$C$44)^(V4-'Costs and Assumptions'!$G$14)</f>
        <v>0.84101134628589558</v>
      </c>
      <c r="W45" s="119">
        <f>(1-'Costs and Assumptions'!$C$44)^(W4-'Costs and Assumptions'!$G$14)</f>
        <v>0.83470376118875134</v>
      </c>
      <c r="X45" s="119">
        <f>(1-'Costs and Assumptions'!$C$44)^(X4-'Costs and Assumptions'!$G$14)</f>
        <v>0.82844348297983572</v>
      </c>
      <c r="Y45" s="119">
        <f>(1-'Costs and Assumptions'!$C$44)^(Y4-'Costs and Assumptions'!$G$14)</f>
        <v>0.82223015685748702</v>
      </c>
      <c r="Z45" s="119">
        <f>(1-'Costs and Assumptions'!$C$44)^(Z4-'Costs and Assumptions'!$G$14)</f>
        <v>0.81606343068105602</v>
      </c>
      <c r="AA45" s="119">
        <f>(1-'Costs and Assumptions'!$C$44)^(AA4-'Costs and Assumptions'!$G$14)</f>
        <v>0.80994295495094804</v>
      </c>
      <c r="AB45" s="119">
        <f>(1-'Costs and Assumptions'!$C$44)^(AB4-'Costs and Assumptions'!$G$14)</f>
        <v>0.803868382788816</v>
      </c>
      <c r="AC45" s="119">
        <f>(1-'Costs and Assumptions'!$C$44)^(AC4-'Costs and Assumptions'!$G$14)</f>
        <v>0.79783936991789994</v>
      </c>
      <c r="AD45" s="119">
        <f>(1-'Costs and Assumptions'!$C$44)^(AD4-'Costs and Assumptions'!$G$14)</f>
        <v>0.79185557464351575</v>
      </c>
      <c r="AE45" s="119">
        <f>(1-'Costs and Assumptions'!$C$44)^(AE4-'Costs and Assumptions'!$G$14)</f>
        <v>0.78591665783368936</v>
      </c>
      <c r="AF45" s="119">
        <f>(1-'Costs and Assumptions'!$C$44)^(AF4-'Costs and Assumptions'!$G$14)</f>
        <v>0.78002228289993669</v>
      </c>
      <c r="AG45" s="119">
        <f>(1-'Costs and Assumptions'!$C$44)^(AG4-'Costs and Assumptions'!$G$14)</f>
        <v>0.77417211577818723</v>
      </c>
    </row>
    <row r="46" spans="1:35" s="117" customFormat="1" hidden="1">
      <c r="A46" s="113"/>
      <c r="B46" s="115" t="s">
        <v>177</v>
      </c>
      <c r="C46" s="116">
        <f>C45*'Costs and Assumptions'!$C$42</f>
        <v>239453.16540677557</v>
      </c>
      <c r="D46" s="116">
        <f>IF(D45*'Costs and Assumptions'!$C$42&gt;'Costs and Assumptions'!$C$45,D45*'Costs and Assumptions'!$C$42,'Costs and Assumptions'!$C$45)</f>
        <v>237657.26666622478</v>
      </c>
      <c r="E46" s="116">
        <f>IF(E45*'Costs and Assumptions'!$C$42&gt;'Costs and Assumptions'!$C$45,E45*'Costs and Assumptions'!$C$42,'Costs and Assumptions'!$C$45)</f>
        <v>235874.8371662281</v>
      </c>
      <c r="F46" s="116">
        <f>IF(F45*'Costs and Assumptions'!$C$42&gt;'Costs and Assumptions'!$C$45,F45*'Costs and Assumptions'!$C$42,'Costs and Assumptions'!$C$45)</f>
        <v>234105.7758874814</v>
      </c>
      <c r="G46" s="116">
        <f>IF(G45*'Costs and Assumptions'!$C$42&gt;'Costs and Assumptions'!$C$45,G45*'Costs and Assumptions'!$C$42,'Costs and Assumptions'!$C$45)</f>
        <v>232349.9825683253</v>
      </c>
      <c r="H46" s="116">
        <f>IF(H45*'Costs and Assumptions'!$C$42&gt;'Costs and Assumptions'!$C$45,H45*'Costs and Assumptions'!$C$42,'Costs and Assumptions'!$C$45)</f>
        <v>230607.35769906285</v>
      </c>
      <c r="I46" s="116">
        <f>IF(I45*'Costs and Assumptions'!$C$42&gt;'Costs and Assumptions'!$C$45,I45*'Costs and Assumptions'!$C$42,'Costs and Assumptions'!$C$45)</f>
        <v>228877.80251631991</v>
      </c>
      <c r="J46" s="116">
        <f>IF(J45*'Costs and Assumptions'!$C$42&gt;'Costs and Assumptions'!$C$45,J45*'Costs and Assumptions'!$C$42,'Costs and Assumptions'!$C$45)</f>
        <v>227161.21899744752</v>
      </c>
      <c r="K46" s="116">
        <f>IF(K45*'Costs and Assumptions'!$C$42&gt;'Costs and Assumptions'!$C$45,K45*'Costs and Assumptions'!$C$42,'Costs and Assumptions'!$C$45)</f>
        <v>225457.50985496666</v>
      </c>
      <c r="L46" s="116">
        <f>IF(L45*'Costs and Assumptions'!$C$42&gt;'Costs and Assumptions'!$C$45,L45*'Costs and Assumptions'!$C$42,'Costs and Assumptions'!$C$45)</f>
        <v>223766.57853105443</v>
      </c>
      <c r="M46" s="116">
        <f>IF(M45*'Costs and Assumptions'!$C$42&gt;'Costs and Assumptions'!$C$45,M45*'Costs and Assumptions'!$C$42,'Costs and Assumptions'!$C$45)</f>
        <v>222088.32919207154</v>
      </c>
      <c r="N46" s="116">
        <f>IF(N45*'Costs and Assumptions'!$C$42&gt;'Costs and Assumptions'!$C$45,N45*'Costs and Assumptions'!$C$42,'Costs and Assumptions'!$C$45)</f>
        <v>220422.66672313103</v>
      </c>
      <c r="O46" s="116">
        <f>IF(O45*'Costs and Assumptions'!$C$42&gt;'Costs and Assumptions'!$C$45,O45*'Costs and Assumptions'!$C$42,'Costs and Assumptions'!$C$45)</f>
        <v>218769.49672270755</v>
      </c>
      <c r="P46" s="116">
        <f>IF(P45*'Costs and Assumptions'!$C$42&gt;'Costs and Assumptions'!$C$45,P45*'Costs and Assumptions'!$C$42,'Costs and Assumptions'!$C$45)</f>
        <v>217128.72549728726</v>
      </c>
      <c r="Q46" s="116">
        <f>IF(Q45*'Costs and Assumptions'!$C$42&gt;'Costs and Assumptions'!$C$45,Q45*'Costs and Assumptions'!$C$42,'Costs and Assumptions'!$C$45)</f>
        <v>215500.2600560576</v>
      </c>
      <c r="R46" s="116">
        <f>IF(R45*'Costs and Assumptions'!$C$42&gt;'Costs and Assumptions'!$C$45,R45*'Costs and Assumptions'!$C$42,'Costs and Assumptions'!$C$45)</f>
        <v>213884.00810563719</v>
      </c>
      <c r="S46" s="116">
        <f>IF(S45*'Costs and Assumptions'!$C$42&gt;'Costs and Assumptions'!$C$45,S45*'Costs and Assumptions'!$C$42,'Costs and Assumptions'!$C$45)</f>
        <v>212279.8780448449</v>
      </c>
      <c r="T46" s="116">
        <f>IF(T45*'Costs and Assumptions'!$C$42&gt;'Costs and Assumptions'!$C$45,T45*'Costs and Assumptions'!$C$42,'Costs and Assumptions'!$C$45)</f>
        <v>210687.77895950858</v>
      </c>
      <c r="U46" s="116">
        <f>IF(U45*'Costs and Assumptions'!$C$42&gt;'Costs and Assumptions'!$C$45,U45*'Costs and Assumptions'!$C$42,'Costs and Assumptions'!$C$45)</f>
        <v>209107.62061731226</v>
      </c>
      <c r="V46" s="116">
        <f>IF(V45*'Costs and Assumptions'!$C$42&gt;'Costs and Assumptions'!$C$45,V45*'Costs and Assumptions'!$C$42,'Costs and Assumptions'!$C$45)</f>
        <v>207539.31346268245</v>
      </c>
      <c r="W46" s="116">
        <f>IF(W45*'Costs and Assumptions'!$C$42&gt;'Costs and Assumptions'!$C$45,W45*'Costs and Assumptions'!$C$42,'Costs and Assumptions'!$C$45)</f>
        <v>205982.76861171232</v>
      </c>
      <c r="X46" s="116">
        <f>IF(X45*'Costs and Assumptions'!$C$42&gt;'Costs and Assumptions'!$C$45,X45*'Costs and Assumptions'!$C$42,'Costs and Assumptions'!$C$45)</f>
        <v>204437.89784712449</v>
      </c>
      <c r="Y46" s="116">
        <f>IF(Y45*'Costs and Assumptions'!$C$42&gt;'Costs and Assumptions'!$C$45,Y45*'Costs and Assumptions'!$C$42,'Costs and Assumptions'!$C$45)</f>
        <v>202904.61361327107</v>
      </c>
      <c r="Z46" s="116">
        <f>IF(Z45*'Costs and Assumptions'!$C$42&gt;'Costs and Assumptions'!$C$45,Z45*'Costs and Assumptions'!$C$42,'Costs and Assumptions'!$C$45)</f>
        <v>201382.82901117159</v>
      </c>
      <c r="AA46" s="116">
        <f>IF(AA45*'Costs and Assumptions'!$C$42&gt;'Costs and Assumptions'!$C$45,AA45*'Costs and Assumptions'!$C$42,'Costs and Assumptions'!$C$45)</f>
        <v>199872.45779358776</v>
      </c>
      <c r="AB46" s="116">
        <f>IF(AB45*'Costs and Assumptions'!$C$42&gt;'Costs and Assumptions'!$C$45,AB45*'Costs and Assumptions'!$C$42,'Costs and Assumptions'!$C$45)</f>
        <v>198373.41436013588</v>
      </c>
      <c r="AC46" s="116">
        <f>IF(AC45*'Costs and Assumptions'!$C$42&gt;'Costs and Assumptions'!$C$45,AC45*'Costs and Assumptions'!$C$42,'Costs and Assumptions'!$C$45)</f>
        <v>196885.61375243487</v>
      </c>
      <c r="AD46" s="116">
        <f>IF(AD45*'Costs and Assumptions'!$C$42&gt;'Costs and Assumptions'!$C$45,AD45*'Costs and Assumptions'!$C$42,'Costs and Assumptions'!$C$45)</f>
        <v>195408.97164929163</v>
      </c>
      <c r="AE46" s="116">
        <f>IF(AE45*'Costs and Assumptions'!$C$42&gt;'Costs and Assumptions'!$C$45,AE45*'Costs and Assumptions'!$C$42,'Costs and Assumptions'!$C$45)</f>
        <v>193943.40436192194</v>
      </c>
      <c r="AF46" s="116">
        <f>IF(AF45*'Costs and Assumptions'!$C$42&gt;'Costs and Assumptions'!$C$45,AF45*'Costs and Assumptions'!$C$42,'Costs and Assumptions'!$C$45)</f>
        <v>192488.82882920752</v>
      </c>
      <c r="AG46" s="116">
        <f>IF(AG45*'Costs and Assumptions'!$C$42&gt;'Costs and Assumptions'!$C$45,AG45*'Costs and Assumptions'!$C$42,'Costs and Assumptions'!$C$45)</f>
        <v>191045.1626129885</v>
      </c>
    </row>
    <row r="47" spans="1:35" s="117" customFormat="1" hidden="1">
      <c r="A47" s="113"/>
      <c r="B47" s="115" t="s">
        <v>178</v>
      </c>
      <c r="C47" s="116">
        <f>C46/'Costs and Assumptions'!$C$46</f>
        <v>79817.721802258529</v>
      </c>
      <c r="D47" s="116">
        <f>D46/'Costs and Assumptions'!$C$46</f>
        <v>79219.088888741593</v>
      </c>
      <c r="E47" s="116">
        <f>E46/'Costs and Assumptions'!$C$46</f>
        <v>78624.945722076038</v>
      </c>
      <c r="F47" s="116">
        <f>F46/'Costs and Assumptions'!$C$46</f>
        <v>78035.258629160468</v>
      </c>
      <c r="G47" s="116">
        <f>G46/'Costs and Assumptions'!$C$46</f>
        <v>77449.994189441772</v>
      </c>
      <c r="H47" s="116">
        <f>H46/'Costs and Assumptions'!$C$46</f>
        <v>76869.119233020945</v>
      </c>
      <c r="I47" s="116">
        <f>I46/'Costs and Assumptions'!$C$46</f>
        <v>76292.600838773302</v>
      </c>
      <c r="J47" s="116">
        <f>J46/'Costs and Assumptions'!$C$46</f>
        <v>75720.406332482511</v>
      </c>
      <c r="K47" s="116">
        <f>K46/'Costs and Assumptions'!$C$46</f>
        <v>75152.503284988881</v>
      </c>
      <c r="L47" s="116">
        <f>L46/'Costs and Assumptions'!$C$46</f>
        <v>74588.859510351482</v>
      </c>
      <c r="M47" s="116">
        <f>M46/'Costs and Assumptions'!$C$46</f>
        <v>74029.443064023842</v>
      </c>
      <c r="N47" s="116">
        <f>N46/'Costs and Assumptions'!$C$46</f>
        <v>73474.222241043681</v>
      </c>
      <c r="O47" s="116">
        <f>O46/'Costs and Assumptions'!$C$46</f>
        <v>72923.165574235856</v>
      </c>
      <c r="P47" s="116">
        <f>P46/'Costs and Assumptions'!$C$46</f>
        <v>72376.241832429092</v>
      </c>
      <c r="Q47" s="116">
        <f>Q46/'Costs and Assumptions'!$C$46</f>
        <v>71833.420018685865</v>
      </c>
      <c r="R47" s="116">
        <f>R46/'Costs and Assumptions'!$C$46</f>
        <v>71294.669368545729</v>
      </c>
      <c r="S47" s="116">
        <f>S46/'Costs and Assumptions'!$C$46</f>
        <v>70759.959348281627</v>
      </c>
      <c r="T47" s="116">
        <f>T46/'Costs and Assumptions'!$C$46</f>
        <v>70229.259653169531</v>
      </c>
      <c r="U47" s="116">
        <f>U46/'Costs and Assumptions'!$C$46</f>
        <v>69702.540205770754</v>
      </c>
      <c r="V47" s="116">
        <f>V46/'Costs and Assumptions'!$C$46</f>
        <v>69179.771154227477</v>
      </c>
      <c r="W47" s="116">
        <f>W46/'Costs and Assumptions'!$C$46</f>
        <v>68660.922870570779</v>
      </c>
      <c r="X47" s="116">
        <f>X46/'Costs and Assumptions'!$C$46</f>
        <v>68145.965949041492</v>
      </c>
      <c r="Y47" s="116">
        <f>Y46/'Costs and Assumptions'!$C$46</f>
        <v>67634.871204423689</v>
      </c>
      <c r="Z47" s="116">
        <f>Z46/'Costs and Assumptions'!$C$46</f>
        <v>67127.609670390535</v>
      </c>
      <c r="AA47" s="116">
        <f>AA46/'Costs and Assumptions'!$C$46</f>
        <v>66624.152597862587</v>
      </c>
      <c r="AB47" s="116">
        <f>AB46/'Costs and Assumptions'!$C$46</f>
        <v>66124.471453378632</v>
      </c>
      <c r="AC47" s="116">
        <f>AC46/'Costs and Assumptions'!$C$46</f>
        <v>65628.537917478287</v>
      </c>
      <c r="AD47" s="116">
        <f>AD46/'Costs and Assumptions'!$C$46</f>
        <v>65136.323883097211</v>
      </c>
      <c r="AE47" s="116">
        <f>AE46/'Costs and Assumptions'!$C$46</f>
        <v>64647.801453973982</v>
      </c>
      <c r="AF47" s="116">
        <f>AF46/'Costs and Assumptions'!$C$46</f>
        <v>64162.942943069174</v>
      </c>
      <c r="AG47" s="116">
        <f>AG46/'Costs and Assumptions'!$C$46</f>
        <v>63681.720870996163</v>
      </c>
    </row>
    <row r="48" spans="1:35" s="117" customFormat="1" hidden="1">
      <c r="A48" s="114" t="s">
        <v>179</v>
      </c>
      <c r="B48" s="115" t="s">
        <v>180</v>
      </c>
      <c r="C48" s="116">
        <f>C47*'Costs and Assumptions'!$C$47</f>
        <v>79817.721802258529</v>
      </c>
      <c r="D48" s="116">
        <f>D47*'Costs and Assumptions'!$C$47</f>
        <v>79219.088888741593</v>
      </c>
      <c r="E48" s="116">
        <f>E47*'Costs and Assumptions'!$C$47</f>
        <v>78624.945722076038</v>
      </c>
      <c r="F48" s="116">
        <f>F47*'Costs and Assumptions'!$C$47</f>
        <v>78035.258629160468</v>
      </c>
      <c r="G48" s="116">
        <f>G47*'Costs and Assumptions'!$C$47</f>
        <v>77449.994189441772</v>
      </c>
      <c r="H48" s="116">
        <f>H47*'Costs and Assumptions'!$C$47</f>
        <v>76869.119233020945</v>
      </c>
      <c r="I48" s="116">
        <f>I47*'Costs and Assumptions'!$C$47</f>
        <v>76292.600838773302</v>
      </c>
      <c r="J48" s="116">
        <f>J47*'Costs and Assumptions'!$C$47</f>
        <v>75720.406332482511</v>
      </c>
      <c r="K48" s="116">
        <f>K47*'Costs and Assumptions'!$C$47</f>
        <v>75152.503284988881</v>
      </c>
      <c r="L48" s="116">
        <f>L47*'Costs and Assumptions'!$C$47</f>
        <v>74588.859510351482</v>
      </c>
      <c r="M48" s="116">
        <f>M47*'Costs and Assumptions'!$C$47</f>
        <v>74029.443064023842</v>
      </c>
      <c r="N48" s="116">
        <f>N47*'Costs and Assumptions'!$C$47</f>
        <v>73474.222241043681</v>
      </c>
      <c r="O48" s="116">
        <f>O47*'Costs and Assumptions'!$C$47</f>
        <v>72923.165574235856</v>
      </c>
      <c r="P48" s="116">
        <f>P47*'Costs and Assumptions'!$C$47</f>
        <v>72376.241832429092</v>
      </c>
      <c r="Q48" s="116">
        <f>Q47*'Costs and Assumptions'!$C$47</f>
        <v>71833.420018685865</v>
      </c>
      <c r="R48" s="116">
        <f>R47*'Costs and Assumptions'!$C$47</f>
        <v>71294.669368545729</v>
      </c>
      <c r="S48" s="116">
        <f>S47*'Costs and Assumptions'!$C$47</f>
        <v>70759.959348281627</v>
      </c>
      <c r="T48" s="116">
        <f>T47*'Costs and Assumptions'!$C$47</f>
        <v>70229.259653169531</v>
      </c>
      <c r="U48" s="116">
        <f>U47*'Costs and Assumptions'!$C$47</f>
        <v>69702.540205770754</v>
      </c>
      <c r="V48" s="116">
        <f>V47*'Costs and Assumptions'!$C$47</f>
        <v>69179.771154227477</v>
      </c>
      <c r="W48" s="116">
        <f>W47*'Costs and Assumptions'!$C$47</f>
        <v>68660.922870570779</v>
      </c>
      <c r="X48" s="116">
        <f>X47*'Costs and Assumptions'!$C$47</f>
        <v>68145.965949041492</v>
      </c>
      <c r="Y48" s="116">
        <f>Y47*'Costs and Assumptions'!$C$47</f>
        <v>67634.871204423689</v>
      </c>
      <c r="Z48" s="116">
        <f>Z47*'Costs and Assumptions'!$C$47</f>
        <v>67127.609670390535</v>
      </c>
      <c r="AA48" s="116">
        <f>AA47*'Costs and Assumptions'!$C$47</f>
        <v>66624.152597862587</v>
      </c>
      <c r="AB48" s="116">
        <f>AB47*'Costs and Assumptions'!$C$47</f>
        <v>66124.471453378632</v>
      </c>
      <c r="AC48" s="116">
        <f>AC47*'Costs and Assumptions'!$C$47</f>
        <v>65628.537917478287</v>
      </c>
      <c r="AD48" s="116">
        <f>AD47*'Costs and Assumptions'!$C$47</f>
        <v>65136.323883097211</v>
      </c>
      <c r="AE48" s="116">
        <f>AE47*'Costs and Assumptions'!$C$47</f>
        <v>64647.801453973982</v>
      </c>
      <c r="AF48" s="116">
        <f>AF47*'Costs and Assumptions'!$C$47</f>
        <v>64162.942943069174</v>
      </c>
      <c r="AG48" s="116">
        <f>AG47*'Costs and Assumptions'!$C$47</f>
        <v>63681.720870996163</v>
      </c>
    </row>
    <row r="49" spans="1:33" s="117" customFormat="1" hidden="1">
      <c r="A49" s="113"/>
      <c r="B49" s="115" t="s">
        <v>181</v>
      </c>
      <c r="C49" s="116"/>
      <c r="D49" s="118">
        <f>D48*(1-'Costs and Assumptions'!$C$50)*'Costs and Assumptions'!$C$49*D5</f>
        <v>82131.614486754581</v>
      </c>
      <c r="E49" s="118">
        <f>E48*(1-'Costs and Assumptions'!$C$50)*'Costs and Assumptions'!$C$49*E5</f>
        <v>83276.364929470961</v>
      </c>
      <c r="F49" s="118">
        <f>F48*(1-'Costs and Assumptions'!$C$50)*'Costs and Assumptions'!$C$49*F5</f>
        <v>84437.070903857952</v>
      </c>
      <c r="G49" s="118">
        <f>G48*(1-'Costs and Assumptions'!$C$50)*'Costs and Assumptions'!$C$49*G5</f>
        <v>85613.954798115941</v>
      </c>
      <c r="H49" s="118">
        <f>H48*(1-'Costs and Assumptions'!$C$50)*'Costs and Assumptions'!$C$49*H5</f>
        <v>86807.242100092073</v>
      </c>
      <c r="I49" s="118">
        <f>I48*(1-'Costs and Assumptions'!$C$50)*'Costs and Assumptions'!$C$49*I5</f>
        <v>88017.161440483178</v>
      </c>
      <c r="J49" s="118">
        <f>J48*(1-'Costs and Assumptions'!$C$50)*'Costs and Assumptions'!$C$49*J5</f>
        <v>89243.944636640648</v>
      </c>
      <c r="K49" s="118">
        <f>K48*(1-'Costs and Assumptions'!$C$50)*'Costs and Assumptions'!$C$49*K5</f>
        <v>90487.826736986142</v>
      </c>
      <c r="L49" s="118">
        <f>L48*(1-'Costs and Assumptions'!$C$50)*'Costs and Assumptions'!$C$49*L5</f>
        <v>91749.04606604627</v>
      </c>
      <c r="M49" s="118">
        <f>M48*(1-'Costs and Assumptions'!$C$50)*'Costs and Assumptions'!$C$49*M5</f>
        <v>93027.844270114816</v>
      </c>
      <c r="N49" s="118">
        <f>N48*(1-'Costs and Assumptions'!$C$50)*'Costs and Assumptions'!$C$49*N5</f>
        <v>94324.466363551721</v>
      </c>
      <c r="O49" s="118">
        <f>O48*(1-'Costs and Assumptions'!$C$50)*'Costs and Assumptions'!$C$49*O5</f>
        <v>95639.160775726908</v>
      </c>
      <c r="P49" s="118">
        <f>P48*(1-'Costs and Assumptions'!$C$50)*'Costs and Assumptions'!$C$49*P5</f>
        <v>96972.179398619002</v>
      </c>
      <c r="Q49" s="118">
        <f>Q48*(1-'Costs and Assumptions'!$C$50)*'Costs and Assumptions'!$C$49*Q5</f>
        <v>98323.777635076956</v>
      </c>
      <c r="R49" s="118">
        <f>R48*(1-'Costs and Assumptions'!$C$50)*'Costs and Assumptions'!$C$49*R5</f>
        <v>99694.214447754668</v>
      </c>
      <c r="S49" s="118">
        <f>S48*(1-'Costs and Assumptions'!$C$50)*'Costs and Assumptions'!$C$49*S5</f>
        <v>101083.75240872745</v>
      </c>
      <c r="T49" s="118">
        <f>T48*(1-'Costs and Assumptions'!$C$50)*'Costs and Assumptions'!$C$49*T5</f>
        <v>102492.65774980035</v>
      </c>
      <c r="U49" s="118">
        <f>U48*(1-'Costs and Assumptions'!$C$50)*'Costs and Assumptions'!$C$49*U5</f>
        <v>103921.20041351706</v>
      </c>
      <c r="V49" s="118">
        <f>V48*(1-'Costs and Assumptions'!$C$50)*'Costs and Assumptions'!$C$49*V5</f>
        <v>105369.65410488067</v>
      </c>
      <c r="W49" s="118">
        <f>W48*(1-'Costs and Assumptions'!$C$50)*'Costs and Assumptions'!$C$49*W5</f>
        <v>106838.29634379453</v>
      </c>
      <c r="X49" s="118">
        <f>X48*(1-'Costs and Assumptions'!$C$50)*'Costs and Assumptions'!$C$49*X5</f>
        <v>108327.40851823431</v>
      </c>
      <c r="Y49" s="118">
        <f>Y48*(1-'Costs and Assumptions'!$C$50)*'Costs and Assumptions'!$C$49*Y5</f>
        <v>109837.2759381615</v>
      </c>
      <c r="Z49" s="118">
        <f>Z48*(1-'Costs and Assumptions'!$C$50)*'Costs and Assumptions'!$C$49*Z5</f>
        <v>111368.18789018765</v>
      </c>
      <c r="AA49" s="118">
        <f>AA48*(1-'Costs and Assumptions'!$C$50)*'Costs and Assumptions'!$C$49*AA5</f>
        <v>112920.43769300106</v>
      </c>
      <c r="AB49" s="118">
        <f>AB48*(1-'Costs and Assumptions'!$C$50)*'Costs and Assumptions'!$C$49*AB5</f>
        <v>114494.32275356611</v>
      </c>
      <c r="AC49" s="118">
        <f>AC48*(1-'Costs and Assumptions'!$C$50)*'Costs and Assumptions'!$C$49*AC5</f>
        <v>116090.14462410532</v>
      </c>
      <c r="AD49" s="118">
        <f>AD48*(1-'Costs and Assumptions'!$C$50)*'Costs and Assumptions'!$C$49*AD5</f>
        <v>117708.20905987614</v>
      </c>
      <c r="AE49" s="118">
        <f>AE48*(1-'Costs and Assumptions'!$C$50)*'Costs and Assumptions'!$C$49*AE5</f>
        <v>119348.8260777527</v>
      </c>
      <c r="AF49" s="118">
        <f>AF48*(1-'Costs and Assumptions'!$C$50)*'Costs and Assumptions'!$C$49*AF5</f>
        <v>121012.3100156244</v>
      </c>
      <c r="AG49" s="118">
        <f>AG48*(1-'Costs and Assumptions'!$C$50)*'Costs and Assumptions'!$C$49*AG5</f>
        <v>122698.97959262224</v>
      </c>
    </row>
    <row r="50" spans="1:33" s="117" customFormat="1" hidden="1">
      <c r="A50" s="113"/>
      <c r="B50" s="115" t="s">
        <v>182</v>
      </c>
      <c r="C50" s="116"/>
      <c r="D50" s="118">
        <f>D48*'Costs and Assumptions'!$C$50*'Costs and Assumptions'!$C$49*D5</f>
        <v>3651123.5894566318</v>
      </c>
      <c r="E50" s="118">
        <f>E48*'Costs and Assumptions'!$C$50*'Costs and Assumptions'!$C$49*E5</f>
        <v>3702012.9500464792</v>
      </c>
      <c r="F50" s="118">
        <f>F48*'Costs and Assumptions'!$C$50*'Costs and Assumptions'!$C$49*F5</f>
        <v>3753611.6065442273</v>
      </c>
      <c r="G50" s="118">
        <f>G48*'Costs and Assumptions'!$C$50*'Costs and Assumptions'!$C$49*G5</f>
        <v>3805929.4451162419</v>
      </c>
      <c r="H50" s="118">
        <f>H48*'Costs and Assumptions'!$C$50*'Costs and Assumptions'!$C$49*H5</f>
        <v>3858976.489722271</v>
      </c>
      <c r="I50" s="118">
        <f>I48*'Costs and Assumptions'!$C$50*'Costs and Assumptions'!$C$49*I5</f>
        <v>3912762.9040360213</v>
      </c>
      <c r="J50" s="118">
        <f>J48*'Costs and Assumptions'!$C$50*'Costs and Assumptions'!$C$49*J5</f>
        <v>3967298.9933924763</v>
      </c>
      <c r="K50" s="118">
        <f>K48*'Costs and Assumptions'!$C$50*'Costs and Assumptions'!$C$49*K5</f>
        <v>4022595.2067623804</v>
      </c>
      <c r="L50" s="118">
        <f>L48*'Costs and Assumptions'!$C$50*'Costs and Assumptions'!$C$49*L5</f>
        <v>4078662.1387542351</v>
      </c>
      <c r="M50" s="118">
        <f>M48*'Costs and Assumptions'!$C$50*'Costs and Assumptions'!$C$49*M5</f>
        <v>4135510.5316441911</v>
      </c>
      <c r="N50" s="118">
        <f>N48*'Costs and Assumptions'!$C$50*'Costs and Assumptions'!$C$49*N5</f>
        <v>4193151.2774342503</v>
      </c>
      <c r="O50" s="118">
        <f>O48*'Costs and Assumptions'!$C$50*'Costs and Assumptions'!$C$49*O5</f>
        <v>4251595.4199391287</v>
      </c>
      <c r="P50" s="118">
        <f>P48*'Costs and Assumptions'!$C$50*'Costs and Assumptions'!$C$49*P5</f>
        <v>4310854.1569022415</v>
      </c>
      <c r="Q50" s="118">
        <f>Q48*'Costs and Assumptions'!$C$50*'Costs and Assumptions'!$C$49*Q5</f>
        <v>4370938.8421411449</v>
      </c>
      <c r="R50" s="118">
        <f>R48*'Costs and Assumptions'!$C$50*'Costs and Assumptions'!$C$49*R5</f>
        <v>4431860.9877229081</v>
      </c>
      <c r="S50" s="118">
        <f>S48*'Costs and Assumptions'!$C$50*'Costs and Assumptions'!$C$49*S5</f>
        <v>4493632.2661697902</v>
      </c>
      <c r="T50" s="118">
        <f>T48*'Costs and Assumptions'!$C$50*'Costs and Assumptions'!$C$49*T5</f>
        <v>4556264.5126956655</v>
      </c>
      <c r="U50" s="118">
        <f>U48*'Costs and Assumptions'!$C$50*'Costs and Assumptions'!$C$49*U5</f>
        <v>4619769.7274736175</v>
      </c>
      <c r="V50" s="118">
        <f>V48*'Costs and Assumptions'!$C$50*'Costs and Assumptions'!$C$49*V5</f>
        <v>4684160.0779351462</v>
      </c>
      <c r="W50" s="118">
        <f>W48*'Costs and Assumptions'!$C$50*'Costs and Assumptions'!$C$49*W5</f>
        <v>4749447.9011014067</v>
      </c>
      <c r="X50" s="118">
        <f>X48*'Costs and Assumptions'!$C$50*'Costs and Assumptions'!$C$49*X5</f>
        <v>4815645.7059469577</v>
      </c>
      <c r="Y50" s="118">
        <f>Y48*'Costs and Assumptions'!$C$50*'Costs and Assumptions'!$C$49*Y5</f>
        <v>4882766.1757964473</v>
      </c>
      <c r="Z50" s="118">
        <f>Z48*'Costs and Assumptions'!$C$50*'Costs and Assumptions'!$C$49*Z5</f>
        <v>4950822.1707547</v>
      </c>
      <c r="AA50" s="118">
        <f>AA48*'Costs and Assumptions'!$C$50*'Costs and Assumptions'!$C$49*AA5</f>
        <v>5019826.7301706783</v>
      </c>
      <c r="AB50" s="118">
        <f>AB48*'Costs and Assumptions'!$C$50*'Costs and Assumptions'!$C$49*AB5</f>
        <v>5089793.0751357982</v>
      </c>
      <c r="AC50" s="118">
        <f>AC48*'Costs and Assumptions'!$C$50*'Costs and Assumptions'!$C$49*AC5</f>
        <v>5160734.6110170409</v>
      </c>
      <c r="AD50" s="118">
        <f>AD48*'Costs and Assumptions'!$C$50*'Costs and Assumptions'!$C$49*AD5</f>
        <v>5232664.9300253978</v>
      </c>
      <c r="AE50" s="118">
        <f>AE48*'Costs and Assumptions'!$C$50*'Costs and Assumptions'!$C$49*AE5</f>
        <v>5305597.813820092</v>
      </c>
      <c r="AF50" s="118">
        <f>AF48*'Costs and Assumptions'!$C$50*'Costs and Assumptions'!$C$49*AF5</f>
        <v>5379547.2361491174</v>
      </c>
      <c r="AG50" s="118">
        <f>AG48*'Costs and Assumptions'!$C$50*'Costs and Assumptions'!$C$49*AG5</f>
        <v>5454527.3655265644</v>
      </c>
    </row>
    <row r="51" spans="1:33" s="117" customFormat="1" hidden="1">
      <c r="A51" s="113"/>
      <c r="B51" s="117" t="s">
        <v>183</v>
      </c>
      <c r="C51" s="120"/>
      <c r="D51" s="121">
        <f>D49+D50</f>
        <v>3733255.2039433862</v>
      </c>
      <c r="E51" s="121">
        <f t="shared" ref="E51:AG51" si="6">E49+E50</f>
        <v>3785289.3149759504</v>
      </c>
      <c r="F51" s="121">
        <f t="shared" si="6"/>
        <v>3838048.6774480855</v>
      </c>
      <c r="G51" s="121">
        <f t="shared" si="6"/>
        <v>3891543.3999143578</v>
      </c>
      <c r="H51" s="121">
        <f t="shared" si="6"/>
        <v>3945783.7318223631</v>
      </c>
      <c r="I51" s="121">
        <f t="shared" si="6"/>
        <v>4000780.0654765046</v>
      </c>
      <c r="J51" s="121">
        <f t="shared" si="6"/>
        <v>4056542.938029117</v>
      </c>
      <c r="K51" s="121">
        <f t="shared" si="6"/>
        <v>4113083.0334993666</v>
      </c>
      <c r="L51" s="121">
        <f t="shared" si="6"/>
        <v>4170411.1848202813</v>
      </c>
      <c r="M51" s="121">
        <f t="shared" si="6"/>
        <v>4228538.3759143064</v>
      </c>
      <c r="N51" s="121">
        <f t="shared" si="6"/>
        <v>4287475.7437978024</v>
      </c>
      <c r="O51" s="121">
        <f t="shared" si="6"/>
        <v>4347234.5807148553</v>
      </c>
      <c r="P51" s="121">
        <f t="shared" si="6"/>
        <v>4407826.3363008602</v>
      </c>
      <c r="Q51" s="121">
        <f t="shared" si="6"/>
        <v>4469262.6197762219</v>
      </c>
      <c r="R51" s="121">
        <f t="shared" si="6"/>
        <v>4531555.2021706626</v>
      </c>
      <c r="S51" s="121">
        <f t="shared" si="6"/>
        <v>4594716.0185785173</v>
      </c>
      <c r="T51" s="121">
        <f t="shared" si="6"/>
        <v>4658757.1704454655</v>
      </c>
      <c r="U51" s="121">
        <f t="shared" si="6"/>
        <v>4723690.9278871343</v>
      </c>
      <c r="V51" s="121">
        <f t="shared" si="6"/>
        <v>4789529.7320400272</v>
      </c>
      <c r="W51" s="121">
        <f t="shared" si="6"/>
        <v>4856286.1974452008</v>
      </c>
      <c r="X51" s="121">
        <f t="shared" si="6"/>
        <v>4923973.114465192</v>
      </c>
      <c r="Y51" s="121">
        <f t="shared" si="6"/>
        <v>4992603.451734609</v>
      </c>
      <c r="Z51" s="121">
        <f t="shared" si="6"/>
        <v>5062190.3586448878</v>
      </c>
      <c r="AA51" s="121">
        <f t="shared" si="6"/>
        <v>5132747.1678636791</v>
      </c>
      <c r="AB51" s="121">
        <f t="shared" si="6"/>
        <v>5204287.3978893645</v>
      </c>
      <c r="AC51" s="121">
        <f t="shared" si="6"/>
        <v>5276824.7556411466</v>
      </c>
      <c r="AD51" s="121">
        <f t="shared" si="6"/>
        <v>5350373.1390852742</v>
      </c>
      <c r="AE51" s="121">
        <f t="shared" si="6"/>
        <v>5424946.6398978448</v>
      </c>
      <c r="AF51" s="121">
        <f t="shared" si="6"/>
        <v>5500559.5461647417</v>
      </c>
      <c r="AG51" s="121">
        <f t="shared" si="6"/>
        <v>5577226.3451191867</v>
      </c>
    </row>
    <row r="52" spans="1:33" s="63" customFormat="1">
      <c r="A52" s="62"/>
      <c r="B52" s="38"/>
      <c r="C52" s="39"/>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row>
    <row r="53" spans="1:33" s="63" customFormat="1">
      <c r="A53" s="62"/>
      <c r="B53" s="38" t="s">
        <v>199</v>
      </c>
      <c r="C53" s="64"/>
      <c r="D53" s="53">
        <v>0</v>
      </c>
      <c r="E53" s="53">
        <f>('Costs and Assumptions'!$F$4*E7+E9*'Costs and Assumptions'!$F$5)*'No Purchase Scenario'!E5*(1+'Costs and Assumptions'!$C$12)</f>
        <v>0</v>
      </c>
      <c r="F53" s="53">
        <f>('Costs and Assumptions'!$F$4*F7+F9*'Costs and Assumptions'!$F$5)*'No Purchase Scenario'!F5*(1+'Costs and Assumptions'!$C$12)</f>
        <v>0</v>
      </c>
      <c r="G53" s="53">
        <f>('Costs and Assumptions'!$F$4*G7+G9*'Costs and Assumptions'!$F$5)*'No Purchase Scenario'!G5*(1+'Costs and Assumptions'!$C$12)</f>
        <v>0</v>
      </c>
      <c r="H53" s="53">
        <f>('Costs and Assumptions'!$F$4*H7+H9*'Costs and Assumptions'!$F$5)*'No Purchase Scenario'!H5*(1+'Costs and Assumptions'!$C$12)</f>
        <v>0</v>
      </c>
      <c r="I53" s="53">
        <f>('Costs and Assumptions'!$F$4*I7+I9*'Costs and Assumptions'!$F$5)*'No Purchase Scenario'!I5*(1+'Costs and Assumptions'!$C$12)</f>
        <v>0</v>
      </c>
      <c r="J53" s="53">
        <f>('Costs and Assumptions'!$F$4*J7+J9*'Costs and Assumptions'!$F$5)*'No Purchase Scenario'!J5*(1+'Costs and Assumptions'!$C$12)</f>
        <v>0</v>
      </c>
      <c r="K53" s="53">
        <f>('Costs and Assumptions'!$F$4*K7+K9*'Costs and Assumptions'!$F$5)*'No Purchase Scenario'!K5*(1+'Costs and Assumptions'!$C$12)</f>
        <v>0</v>
      </c>
      <c r="L53" s="53">
        <f>('Costs and Assumptions'!$F$4*L7+L9*'Costs and Assumptions'!$F$5)*'No Purchase Scenario'!L5*(1+'Costs and Assumptions'!$C$12)</f>
        <v>0</v>
      </c>
      <c r="M53" s="53">
        <f>('Costs and Assumptions'!$F$4*M7+M9*'Costs and Assumptions'!$F$5)*'No Purchase Scenario'!M5*(1+'Costs and Assumptions'!$C$12)</f>
        <v>0</v>
      </c>
      <c r="N53" s="53">
        <f>('Costs and Assumptions'!$F$4*N7+N9*'Costs and Assumptions'!$F$5)*'No Purchase Scenario'!N5*(1+'Costs and Assumptions'!$C$12)</f>
        <v>0</v>
      </c>
      <c r="O53" s="53">
        <f>('Costs and Assumptions'!$F$4*O7+O9*'Costs and Assumptions'!$F$5)*'No Purchase Scenario'!O5*(1+'Costs and Assumptions'!$C$12)</f>
        <v>0</v>
      </c>
      <c r="P53" s="53">
        <f>('Costs and Assumptions'!$F$4*P7+P9*'Costs and Assumptions'!$F$5)*'No Purchase Scenario'!P5*(1+'Costs and Assumptions'!$C$12)</f>
        <v>0</v>
      </c>
      <c r="Q53" s="53">
        <f>('Costs and Assumptions'!$F$4*Q7+Q9*'Costs and Assumptions'!$F$5)*'No Purchase Scenario'!Q5*(1+'Costs and Assumptions'!$C$12)</f>
        <v>0</v>
      </c>
      <c r="R53" s="53">
        <f>('Costs and Assumptions'!$F$4*R7+R9*'Costs and Assumptions'!$F$5)*'No Purchase Scenario'!R5*(1+'Costs and Assumptions'!$C$12)</f>
        <v>0</v>
      </c>
      <c r="S53" s="53">
        <f>('Costs and Assumptions'!$F$4*S7+S9*'Costs and Assumptions'!$F$5)*'No Purchase Scenario'!S5*(1+'Costs and Assumptions'!$C$12)</f>
        <v>0</v>
      </c>
      <c r="T53" s="53">
        <f>('Costs and Assumptions'!$F$4*T7+T9*'Costs and Assumptions'!$F$5)*'No Purchase Scenario'!T5*(1+'Costs and Assumptions'!$C$12)</f>
        <v>0</v>
      </c>
      <c r="U53" s="53">
        <f>('Costs and Assumptions'!$F$4*U7+U9*'Costs and Assumptions'!$F$5)*'No Purchase Scenario'!U5*(1+'Costs and Assumptions'!$C$12)</f>
        <v>0</v>
      </c>
      <c r="V53" s="53">
        <f>('Costs and Assumptions'!$F$4*V7+V9*'Costs and Assumptions'!$F$5)*'No Purchase Scenario'!V5*(1+'Costs and Assumptions'!$C$12)</f>
        <v>0</v>
      </c>
      <c r="W53" s="53">
        <f>('Costs and Assumptions'!$F$4*W7+W9*'Costs and Assumptions'!$F$5)*'No Purchase Scenario'!W5*(1+'Costs and Assumptions'!$C$12)</f>
        <v>0</v>
      </c>
      <c r="X53" s="53">
        <f>('Costs and Assumptions'!$F$4*X7+X9*'Costs and Assumptions'!$F$5)*'No Purchase Scenario'!X5*(1+'Costs and Assumptions'!$C$12)</f>
        <v>0</v>
      </c>
      <c r="Y53" s="53">
        <f>('Costs and Assumptions'!$F$4*Y7+Y9*'Costs and Assumptions'!$F$5)*'No Purchase Scenario'!Y5*(1+'Costs and Assumptions'!$C$12)</f>
        <v>0</v>
      </c>
      <c r="Z53" s="53">
        <f>('Costs and Assumptions'!$F$4*Z7+Z9*'Costs and Assumptions'!$F$5)*'No Purchase Scenario'!Z5*(1+'Costs and Assumptions'!$C$12)</f>
        <v>0</v>
      </c>
      <c r="AA53" s="53">
        <f>('Costs and Assumptions'!$F$4*AA7+AA9*'Costs and Assumptions'!$F$5)*'No Purchase Scenario'!AA5*(1+'Costs and Assumptions'!$C$12)</f>
        <v>0</v>
      </c>
      <c r="AB53" s="53">
        <f>('Costs and Assumptions'!$F$4*AB7+AB9*'Costs and Assumptions'!$F$5)*'No Purchase Scenario'!AB5*(1+'Costs and Assumptions'!$C$12)</f>
        <v>0</v>
      </c>
      <c r="AC53" s="53">
        <f>('Costs and Assumptions'!$F$4*AC7+AC9*'Costs and Assumptions'!$F$5)*'No Purchase Scenario'!AC5*(1+'Costs and Assumptions'!$C$12)</f>
        <v>0</v>
      </c>
      <c r="AD53" s="53">
        <f>('Costs and Assumptions'!$F$4*AD7+AD9*'Costs and Assumptions'!$F$5)*'No Purchase Scenario'!AD5*(1+'Costs and Assumptions'!$C$12)</f>
        <v>0</v>
      </c>
      <c r="AE53" s="53">
        <f>('Costs and Assumptions'!$F$4*AE7+AE9*'Costs and Assumptions'!$F$5)*'No Purchase Scenario'!AE5*(1+'Costs and Assumptions'!$C$12)</f>
        <v>0</v>
      </c>
      <c r="AF53" s="53">
        <f>('Costs and Assumptions'!$F$4*AF7+AF9*'Costs and Assumptions'!$F$5)*'No Purchase Scenario'!AF5*(1+'Costs and Assumptions'!$C$12)</f>
        <v>0</v>
      </c>
      <c r="AG53" s="53">
        <f>('Costs and Assumptions'!$F$4*AG7+AG9*'Costs and Assumptions'!$F$5)*'No Purchase Scenario'!AG5*(1+'Costs and Assumptions'!$C$12)</f>
        <v>0</v>
      </c>
    </row>
    <row r="54" spans="1:33" s="63" customFormat="1">
      <c r="A54" s="62"/>
      <c r="B54" s="38"/>
      <c r="C54" s="64"/>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row>
    <row r="55" spans="1:33" s="63" customFormat="1">
      <c r="A55" s="62"/>
      <c r="B55" s="63" t="s">
        <v>186</v>
      </c>
      <c r="C55" s="64"/>
      <c r="D55" s="65">
        <f>D37+D53</f>
        <v>2034715.8225848624</v>
      </c>
      <c r="E55" s="65">
        <f t="shared" ref="E55:AG55" si="7">E37+E53</f>
        <v>2176561.5668756184</v>
      </c>
      <c r="F55" s="65">
        <f t="shared" si="7"/>
        <v>2329566.5870159906</v>
      </c>
      <c r="G55" s="65">
        <f t="shared" si="7"/>
        <v>2494621.9296207055</v>
      </c>
      <c r="H55" s="65">
        <f t="shared" si="7"/>
        <v>2672689.9097745884</v>
      </c>
      <c r="I55" s="65">
        <f t="shared" si="7"/>
        <v>2864809.81237284</v>
      </c>
      <c r="J55" s="65">
        <f t="shared" si="7"/>
        <v>3072104.049567299</v>
      </c>
      <c r="K55" s="65">
        <f t="shared" si="7"/>
        <v>3295784.8108071554</v>
      </c>
      <c r="L55" s="65">
        <f t="shared" si="7"/>
        <v>4404726.1760668363</v>
      </c>
      <c r="M55" s="65">
        <f t="shared" si="7"/>
        <v>4816377.5198257426</v>
      </c>
      <c r="N55" s="65">
        <f t="shared" si="7"/>
        <v>5268934.6064959094</v>
      </c>
      <c r="O55" s="65">
        <f t="shared" si="7"/>
        <v>5766485.6758452812</v>
      </c>
      <c r="P55" s="65">
        <f t="shared" si="7"/>
        <v>6313527.7706078868</v>
      </c>
      <c r="Q55" s="65">
        <f t="shared" si="7"/>
        <v>6915007.6165913586</v>
      </c>
      <c r="R55" s="65">
        <f t="shared" si="7"/>
        <v>7576366.5907934811</v>
      </c>
      <c r="S55" s="65">
        <f t="shared" si="7"/>
        <v>32320765.005421124</v>
      </c>
      <c r="T55" s="65">
        <f t="shared" si="7"/>
        <v>9103262.4238455445</v>
      </c>
      <c r="U55" s="65">
        <f t="shared" si="7"/>
        <v>9982625.7040840313</v>
      </c>
      <c r="V55" s="65">
        <f t="shared" si="7"/>
        <v>10949646.645687051</v>
      </c>
      <c r="W55" s="65">
        <f t="shared" si="7"/>
        <v>12013088.506791122</v>
      </c>
      <c r="X55" s="65">
        <f t="shared" si="7"/>
        <v>13182590.848774426</v>
      </c>
      <c r="Y55" s="65">
        <f t="shared" si="7"/>
        <v>14468757.166377792</v>
      </c>
      <c r="Z55" s="65">
        <f t="shared" si="7"/>
        <v>62685930.544490874</v>
      </c>
      <c r="AA55" s="65">
        <f t="shared" si="7"/>
        <v>17438903.372320473</v>
      </c>
      <c r="AB55" s="65">
        <f t="shared" si="7"/>
        <v>19149826.61562397</v>
      </c>
      <c r="AC55" s="65">
        <f t="shared" si="7"/>
        <v>21031545.479412463</v>
      </c>
      <c r="AD55" s="65">
        <f t="shared" si="7"/>
        <v>23101136.855399836</v>
      </c>
      <c r="AE55" s="65">
        <f t="shared" si="7"/>
        <v>25377385.300438363</v>
      </c>
      <c r="AF55" s="65">
        <f t="shared" si="7"/>
        <v>27880953.802816227</v>
      </c>
      <c r="AG55" s="65">
        <f t="shared" si="7"/>
        <v>30634571.625182889</v>
      </c>
    </row>
    <row r="56" spans="1:33" s="40" customFormat="1">
      <c r="A56" s="37"/>
      <c r="B56" s="40" t="s">
        <v>200</v>
      </c>
      <c r="D56" s="53">
        <f>D55-D53</f>
        <v>2034715.8225848624</v>
      </c>
      <c r="E56" s="53">
        <f t="shared" ref="E56:AG56" si="8">E55-E53</f>
        <v>2176561.5668756184</v>
      </c>
      <c r="F56" s="53">
        <f t="shared" si="8"/>
        <v>2329566.5870159906</v>
      </c>
      <c r="G56" s="53">
        <f t="shared" si="8"/>
        <v>2494621.9296207055</v>
      </c>
      <c r="H56" s="53">
        <f t="shared" si="8"/>
        <v>2672689.9097745884</v>
      </c>
      <c r="I56" s="53">
        <f t="shared" si="8"/>
        <v>2864809.81237284</v>
      </c>
      <c r="J56" s="53">
        <f t="shared" si="8"/>
        <v>3072104.049567299</v>
      </c>
      <c r="K56" s="53">
        <f t="shared" si="8"/>
        <v>3295784.8108071554</v>
      </c>
      <c r="L56" s="53">
        <f t="shared" si="8"/>
        <v>4404726.1760668363</v>
      </c>
      <c r="M56" s="53">
        <f t="shared" si="8"/>
        <v>4816377.5198257426</v>
      </c>
      <c r="N56" s="53">
        <f t="shared" si="8"/>
        <v>5268934.6064959094</v>
      </c>
      <c r="O56" s="53">
        <f t="shared" si="8"/>
        <v>5766485.6758452812</v>
      </c>
      <c r="P56" s="53">
        <f t="shared" si="8"/>
        <v>6313527.7706078868</v>
      </c>
      <c r="Q56" s="53">
        <f t="shared" si="8"/>
        <v>6915007.6165913586</v>
      </c>
      <c r="R56" s="53">
        <f t="shared" si="8"/>
        <v>7576366.5907934811</v>
      </c>
      <c r="S56" s="53">
        <f t="shared" si="8"/>
        <v>32320765.005421124</v>
      </c>
      <c r="T56" s="53">
        <f t="shared" si="8"/>
        <v>9103262.4238455445</v>
      </c>
      <c r="U56" s="53">
        <f t="shared" si="8"/>
        <v>9982625.7040840313</v>
      </c>
      <c r="V56" s="53">
        <f t="shared" si="8"/>
        <v>10949646.645687051</v>
      </c>
      <c r="W56" s="53">
        <f t="shared" si="8"/>
        <v>12013088.506791122</v>
      </c>
      <c r="X56" s="53">
        <f t="shared" si="8"/>
        <v>13182590.848774426</v>
      </c>
      <c r="Y56" s="53">
        <f t="shared" si="8"/>
        <v>14468757.166377792</v>
      </c>
      <c r="Z56" s="53">
        <f t="shared" si="8"/>
        <v>62685930.544490874</v>
      </c>
      <c r="AA56" s="53">
        <f t="shared" si="8"/>
        <v>17438903.372320473</v>
      </c>
      <c r="AB56" s="53">
        <f t="shared" si="8"/>
        <v>19149826.61562397</v>
      </c>
      <c r="AC56" s="53">
        <f t="shared" si="8"/>
        <v>21031545.479412463</v>
      </c>
      <c r="AD56" s="53">
        <f t="shared" si="8"/>
        <v>23101136.855399836</v>
      </c>
      <c r="AE56" s="53">
        <f t="shared" si="8"/>
        <v>25377385.300438363</v>
      </c>
      <c r="AF56" s="53">
        <f t="shared" si="8"/>
        <v>27880953.802816227</v>
      </c>
      <c r="AG56" s="53">
        <f t="shared" si="8"/>
        <v>30634571.625182889</v>
      </c>
    </row>
    <row r="57" spans="1:33" s="40" customFormat="1">
      <c r="A57" s="37"/>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row>
    <row r="58" spans="1:33" s="40" customFormat="1">
      <c r="A58" s="37"/>
      <c r="B58" s="38" t="s">
        <v>88</v>
      </c>
      <c r="C58" s="41">
        <v>0.03</v>
      </c>
      <c r="D58" s="42">
        <f>(1+'Costs and Assumptions'!$C$52)^(D4-'Costs and Assumptions'!$G$14)</f>
        <v>1.1592740742999998</v>
      </c>
      <c r="E58" s="42">
        <f>(1+'Costs and Assumptions'!$C$52)^(E4-'Costs and Assumptions'!$G$14)</f>
        <v>1.1940522965289999</v>
      </c>
      <c r="F58" s="42">
        <f>(1+'Costs and Assumptions'!$C$52)^(F4-'Costs and Assumptions'!$G$14)</f>
        <v>1.22987386542487</v>
      </c>
      <c r="G58" s="42">
        <f>(1+'Costs and Assumptions'!$C$52)^(G4-'Costs and Assumptions'!$G$14)</f>
        <v>1.2667700813876159</v>
      </c>
      <c r="H58" s="42">
        <f>(1+'Costs and Assumptions'!$C$52)^(H4-'Costs and Assumptions'!$G$14)</f>
        <v>1.3047731838292445</v>
      </c>
      <c r="I58" s="42">
        <f>(1+'Costs and Assumptions'!$C$52)^(I4-'Costs and Assumptions'!$G$14)</f>
        <v>1.3439163793441218</v>
      </c>
      <c r="J58" s="42">
        <f>(1+'Costs and Assumptions'!$C$52)^(J4-'Costs and Assumptions'!$G$14)</f>
        <v>1.3842338707244455</v>
      </c>
      <c r="K58" s="42">
        <f>(1+'Costs and Assumptions'!$C$52)^(K4-'Costs and Assumptions'!$G$14)</f>
        <v>1.4257608868461786</v>
      </c>
      <c r="L58" s="42">
        <f>(1+'Costs and Assumptions'!$C$52)^(L4-'Costs and Assumptions'!$G$14)</f>
        <v>1.4685337134515639</v>
      </c>
      <c r="M58" s="42">
        <f>(1+'Costs and Assumptions'!$C$52)^(M4-'Costs and Assumptions'!$G$14)</f>
        <v>1.512589724855111</v>
      </c>
      <c r="N58" s="42">
        <f>(1+'Costs and Assumptions'!$C$52)^(N4-'Costs and Assumptions'!$G$14)</f>
        <v>1.5579674166007644</v>
      </c>
      <c r="O58" s="42">
        <f>(1+'Costs and Assumptions'!$C$52)^(O4-'Costs and Assumptions'!$G$14)</f>
        <v>1.6047064390987871</v>
      </c>
      <c r="P58" s="42">
        <f>(1+'Costs and Assumptions'!$C$52)^(P4-'Costs and Assumptions'!$G$14)</f>
        <v>1.6528476322717507</v>
      </c>
      <c r="Q58" s="42">
        <f>(1+'Costs and Assumptions'!$C$52)^(Q4-'Costs and Assumptions'!$G$14)</f>
        <v>1.7024330612399032</v>
      </c>
      <c r="R58" s="42">
        <f>(1+'Costs and Assumptions'!$C$52)^(R4-'Costs and Assumptions'!$G$14)</f>
        <v>1.7535060530771003</v>
      </c>
      <c r="S58" s="42">
        <f>(1+'Costs and Assumptions'!$C$52)^(S4-'Costs and Assumptions'!$G$14)</f>
        <v>1.8061112346694133</v>
      </c>
      <c r="T58" s="42">
        <f>(1+'Costs and Assumptions'!$C$52)^(T4-'Costs and Assumptions'!$G$14)</f>
        <v>1.8602945717094954</v>
      </c>
      <c r="U58" s="42">
        <f>(1+'Costs and Assumptions'!$C$52)^(U4-'Costs and Assumptions'!$G$14)</f>
        <v>1.9161034088607805</v>
      </c>
      <c r="V58" s="42">
        <f>(1+'Costs and Assumptions'!$C$52)^(V4-'Costs and Assumptions'!$G$14)</f>
        <v>1.973586511126604</v>
      </c>
      <c r="W58" s="42">
        <f>(1+'Costs and Assumptions'!$C$52)^(W4-'Costs and Assumptions'!$G$14)</f>
        <v>2.0327941064604018</v>
      </c>
      <c r="X58" s="42">
        <f>(1+'Costs and Assumptions'!$C$52)^(X4-'Costs and Assumptions'!$G$14)</f>
        <v>2.0937779296542138</v>
      </c>
      <c r="Y58" s="42">
        <f>(1+'Costs and Assumptions'!$C$52)^(Y4-'Costs and Assumptions'!$G$14)</f>
        <v>2.1565912675438406</v>
      </c>
      <c r="Z58" s="42">
        <f>(1+'Costs and Assumptions'!$C$52)^(Z4-'Costs and Assumptions'!$G$14)</f>
        <v>2.2212890055701555</v>
      </c>
      <c r="AA58" s="42">
        <f>(1+'Costs and Assumptions'!$C$52)^(AA4-'Costs and Assumptions'!$G$14)</f>
        <v>2.2879276757372602</v>
      </c>
      <c r="AB58" s="42">
        <f>(1+'Costs and Assumptions'!$C$52)^(AB4-'Costs and Assumptions'!$G$14)</f>
        <v>2.3565655060093778</v>
      </c>
      <c r="AC58" s="42">
        <f>(1+'Costs and Assumptions'!$C$52)^(AC4-'Costs and Assumptions'!$G$14)</f>
        <v>2.4272624711896591</v>
      </c>
      <c r="AD58" s="42">
        <f>(1+'Costs and Assumptions'!$C$52)^(AD4-'Costs and Assumptions'!$G$14)</f>
        <v>2.5000803453253493</v>
      </c>
      <c r="AE58" s="42">
        <f>(1+'Costs and Assumptions'!$C$52)^(AE4-'Costs and Assumptions'!$G$14)</f>
        <v>2.5750827556851092</v>
      </c>
      <c r="AF58" s="42">
        <f>(1+'Costs and Assumptions'!$C$52)^(AF4-'Costs and Assumptions'!$G$14)</f>
        <v>2.6523352383556626</v>
      </c>
      <c r="AG58" s="42">
        <f>(1+'Costs and Assumptions'!$C$52)^(AG4-'Costs and Assumptions'!$G$14)</f>
        <v>2.7319052955063321</v>
      </c>
    </row>
    <row r="59" spans="1:33" s="40" customFormat="1">
      <c r="A59" s="37"/>
      <c r="B59" s="38" t="s">
        <v>89</v>
      </c>
      <c r="C59" s="43"/>
      <c r="D59" s="53">
        <f>D55/D58</f>
        <v>1755163.7422871527</v>
      </c>
      <c r="E59" s="53">
        <f t="shared" ref="E59:AG59" si="9">E55/E58</f>
        <v>1822836.0459610375</v>
      </c>
      <c r="F59" s="53">
        <f t="shared" si="9"/>
        <v>1894150.8170118101</v>
      </c>
      <c r="G59" s="53">
        <f t="shared" si="9"/>
        <v>1969277.587364634</v>
      </c>
      <c r="H59" s="53">
        <f t="shared" si="9"/>
        <v>2048394.2672172231</v>
      </c>
      <c r="I59" s="53">
        <f t="shared" si="9"/>
        <v>2131687.5487230592</v>
      </c>
      <c r="J59" s="53">
        <f t="shared" si="9"/>
        <v>2219353.3293326353</v>
      </c>
      <c r="K59" s="53">
        <f t="shared" si="9"/>
        <v>2311597.1557457438</v>
      </c>
      <c r="L59" s="53">
        <f t="shared" si="9"/>
        <v>2999404.1918957387</v>
      </c>
      <c r="M59" s="53">
        <f t="shared" si="9"/>
        <v>3184192.9379013181</v>
      </c>
      <c r="N59" s="53">
        <f t="shared" si="9"/>
        <v>3381928.6272314228</v>
      </c>
      <c r="O59" s="53">
        <f t="shared" si="9"/>
        <v>3593483.2286731363</v>
      </c>
      <c r="P59" s="53">
        <f t="shared" si="9"/>
        <v>3819788.1325154458</v>
      </c>
      <c r="Q59" s="53">
        <f t="shared" si="9"/>
        <v>4061838.1856112876</v>
      </c>
      <c r="R59" s="53">
        <f t="shared" si="9"/>
        <v>4320696.000734224</v>
      </c>
      <c r="S59" s="53">
        <f t="shared" si="9"/>
        <v>17895223.940255843</v>
      </c>
      <c r="T59" s="53">
        <f t="shared" si="9"/>
        <v>4893452.1243483555</v>
      </c>
      <c r="U59" s="53">
        <f t="shared" si="9"/>
        <v>5209857.4940791959</v>
      </c>
      <c r="V59" s="53">
        <f t="shared" si="9"/>
        <v>5548095.6035905136</v>
      </c>
      <c r="W59" s="53">
        <f t="shared" si="9"/>
        <v>5909643.5141229751</v>
      </c>
      <c r="X59" s="53">
        <f t="shared" si="9"/>
        <v>6296078.8066724548</v>
      </c>
      <c r="Y59" s="53">
        <f t="shared" si="9"/>
        <v>6709086.4106374588</v>
      </c>
      <c r="Z59" s="53">
        <f t="shared" si="9"/>
        <v>28220519.881608468</v>
      </c>
      <c r="AA59" s="53">
        <f t="shared" si="9"/>
        <v>7622139.2648266181</v>
      </c>
      <c r="AB59" s="53">
        <f t="shared" si="9"/>
        <v>8126159.2630422572</v>
      </c>
      <c r="AC59" s="53">
        <f t="shared" si="9"/>
        <v>8664718.2696745619</v>
      </c>
      <c r="AD59" s="53">
        <f t="shared" si="9"/>
        <v>9240157.7807666641</v>
      </c>
      <c r="AE59" s="53">
        <f t="shared" si="9"/>
        <v>9854978.5417232644</v>
      </c>
      <c r="AF59" s="53">
        <f t="shared" si="9"/>
        <v>10511851.367665445</v>
      </c>
      <c r="AG59" s="53">
        <f t="shared" si="9"/>
        <v>11213628.699198766</v>
      </c>
    </row>
    <row r="60" spans="1:33" s="40" customFormat="1">
      <c r="A60" s="37"/>
    </row>
    <row r="61" spans="1:33" s="40" customFormat="1">
      <c r="A61" s="37"/>
      <c r="B61" s="40" t="s">
        <v>88</v>
      </c>
      <c r="C61" s="41">
        <v>7.0000000000000007E-2</v>
      </c>
      <c r="D61" s="42">
        <f>(1+'Costs and Assumptions'!$C$53)^(D4-'Costs and Assumptions'!$G$14)</f>
        <v>1.4025517307000002</v>
      </c>
      <c r="E61" s="42">
        <f>(1+'Costs and Assumptions'!$C$53)^(E4-'Costs and Assumptions'!$G$14)</f>
        <v>1.5007303518490001</v>
      </c>
      <c r="F61" s="42">
        <f>(1+'Costs and Assumptions'!$C$53)^(F4-'Costs and Assumptions'!$G$14)</f>
        <v>1.6057814764784302</v>
      </c>
      <c r="G61" s="42">
        <f>(1+'Costs and Assumptions'!$C$53)^(G4-'Costs and Assumptions'!$G$14)</f>
        <v>1.7181861798319202</v>
      </c>
      <c r="H61" s="42">
        <f>(1+'Costs and Assumptions'!$C$53)^(H4-'Costs and Assumptions'!$G$14)</f>
        <v>1.8384592124201549</v>
      </c>
      <c r="I61" s="42">
        <f>(1+'Costs and Assumptions'!$C$53)^(I4-'Costs and Assumptions'!$G$14)</f>
        <v>1.9671513572895656</v>
      </c>
      <c r="J61" s="42">
        <f>(1+'Costs and Assumptions'!$C$53)^(J4-'Costs and Assumptions'!$G$14)</f>
        <v>2.1048519522998355</v>
      </c>
      <c r="K61" s="42">
        <f>(1+'Costs and Assumptions'!$C$53)^(K4-'Costs and Assumptions'!$G$14)</f>
        <v>2.2521915889608235</v>
      </c>
      <c r="L61" s="42">
        <f>(1+'Costs and Assumptions'!$C$53)^(L4-'Costs and Assumptions'!$G$14)</f>
        <v>2.4098450001880813</v>
      </c>
      <c r="M61" s="42">
        <f>(1+'Costs and Assumptions'!$C$53)^(M4-'Costs and Assumptions'!$G$14)</f>
        <v>2.5785341502012469</v>
      </c>
      <c r="N61" s="42">
        <f>(1+'Costs and Assumptions'!$C$53)^(N4-'Costs and Assumptions'!$G$14)</f>
        <v>2.7590315407153345</v>
      </c>
      <c r="O61" s="42">
        <f>(1+'Costs and Assumptions'!$C$53)^(O4-'Costs and Assumptions'!$G$14)</f>
        <v>2.9521637485654075</v>
      </c>
      <c r="P61" s="42">
        <f>(1+'Costs and Assumptions'!$C$53)^(P4-'Costs and Assumptions'!$G$14)</f>
        <v>3.1588152109649861</v>
      </c>
      <c r="Q61" s="42">
        <f>(1+'Costs and Assumptions'!$C$53)^(Q4-'Costs and Assumptions'!$G$14)</f>
        <v>3.3799322757325352</v>
      </c>
      <c r="R61" s="42">
        <f>(1+'Costs and Assumptions'!$C$53)^(R4-'Costs and Assumptions'!$G$14)</f>
        <v>3.6165275350338129</v>
      </c>
      <c r="S61" s="42">
        <f>(1+'Costs and Assumptions'!$C$53)^(S4-'Costs and Assumptions'!$G$14)</f>
        <v>3.8696844624861795</v>
      </c>
      <c r="T61" s="42">
        <f>(1+'Costs and Assumptions'!$C$53)^(T4-'Costs and Assumptions'!$G$14)</f>
        <v>4.1405623748602123</v>
      </c>
      <c r="U61" s="42">
        <f>(1+'Costs and Assumptions'!$C$53)^(U4-'Costs and Assumptions'!$G$14)</f>
        <v>4.4304017411004271</v>
      </c>
      <c r="V61" s="42">
        <f>(1+'Costs and Assumptions'!$C$53)^(V4-'Costs and Assumptions'!$G$14)</f>
        <v>4.740529862977457</v>
      </c>
      <c r="W61" s="42">
        <f>(1+'Costs and Assumptions'!$C$53)^(W4-'Costs and Assumptions'!$G$14)</f>
        <v>5.0723669533858793</v>
      </c>
      <c r="X61" s="42">
        <f>(1+'Costs and Assumptions'!$C$53)^(X4-'Costs and Assumptions'!$G$14)</f>
        <v>5.4274326401228912</v>
      </c>
      <c r="Y61" s="42">
        <f>(1+'Costs and Assumptions'!$C$53)^(Y4-'Costs and Assumptions'!$G$14)</f>
        <v>5.807352924931493</v>
      </c>
      <c r="Z61" s="42">
        <f>(1+'Costs and Assumptions'!$C$53)^(Z4-'Costs and Assumptions'!$G$14)</f>
        <v>6.2138676296766988</v>
      </c>
      <c r="AA61" s="42">
        <f>(1+'Costs and Assumptions'!$C$53)^(AA4-'Costs and Assumptions'!$G$14)</f>
        <v>6.6488383637540664</v>
      </c>
      <c r="AB61" s="42">
        <f>(1+'Costs and Assumptions'!$C$53)^(AB4-'Costs and Assumptions'!$G$14)</f>
        <v>7.1142570492168513</v>
      </c>
      <c r="AC61" s="42">
        <f>(1+'Costs and Assumptions'!$C$53)^(AC4-'Costs and Assumptions'!$G$14)</f>
        <v>7.6122550426620306</v>
      </c>
      <c r="AD61" s="42">
        <f>(1+'Costs and Assumptions'!$C$53)^(AD4-'Costs and Assumptions'!$G$14)</f>
        <v>8.1451128956483743</v>
      </c>
      <c r="AE61" s="42">
        <f>(1+'Costs and Assumptions'!$C$53)^(AE4-'Costs and Assumptions'!$G$14)</f>
        <v>8.7152707983437594</v>
      </c>
      <c r="AF61" s="42">
        <f>(1+'Costs and Assumptions'!$C$53)^(AF4-'Costs and Assumptions'!$G$14)</f>
        <v>9.3253397542278229</v>
      </c>
      <c r="AG61" s="42">
        <f>(1+'Costs and Assumptions'!$C$53)^(AG4-'Costs and Assumptions'!$G$14)</f>
        <v>9.9781135370237699</v>
      </c>
    </row>
    <row r="62" spans="1:33" s="40" customFormat="1">
      <c r="A62" s="37"/>
      <c r="B62" s="40" t="s">
        <v>90</v>
      </c>
      <c r="D62" s="53">
        <f>D55/D61</f>
        <v>1450724.2606797505</v>
      </c>
      <c r="E62" s="53">
        <f t="shared" ref="E62:AG62" si="10">E55/E61</f>
        <v>1450334.8747454525</v>
      </c>
      <c r="F62" s="53">
        <f t="shared" si="10"/>
        <v>1450736.990767176</v>
      </c>
      <c r="G62" s="53">
        <f t="shared" si="10"/>
        <v>1451892.6754868552</v>
      </c>
      <c r="H62" s="53">
        <f t="shared" si="10"/>
        <v>1453766.2253905807</v>
      </c>
      <c r="I62" s="53">
        <f t="shared" si="10"/>
        <v>1456324.040220327</v>
      </c>
      <c r="J62" s="53">
        <f t="shared" si="10"/>
        <v>1459534.5037025572</v>
      </c>
      <c r="K62" s="53">
        <f t="shared" si="10"/>
        <v>1463367.8710823411</v>
      </c>
      <c r="L62" s="53">
        <f t="shared" si="10"/>
        <v>1827804.7657517642</v>
      </c>
      <c r="M62" s="53">
        <f t="shared" si="10"/>
        <v>1867874.2414366854</v>
      </c>
      <c r="N62" s="53">
        <f t="shared" si="10"/>
        <v>1909704.375880325</v>
      </c>
      <c r="O62" s="53">
        <f t="shared" si="10"/>
        <v>1953308.2061072942</v>
      </c>
      <c r="P62" s="53">
        <f t="shared" si="10"/>
        <v>1998701.2056584242</v>
      </c>
      <c r="Q62" s="53">
        <f t="shared" si="10"/>
        <v>2045901.2348384005</v>
      </c>
      <c r="R62" s="53">
        <f t="shared" si="10"/>
        <v>2094928.4962993225</v>
      </c>
      <c r="S62" s="53">
        <f t="shared" si="10"/>
        <v>8352299.8628823105</v>
      </c>
      <c r="T62" s="53">
        <f t="shared" si="10"/>
        <v>2198557.0074047912</v>
      </c>
      <c r="U62" s="53">
        <f t="shared" si="10"/>
        <v>2253210.0444698134</v>
      </c>
      <c r="V62" s="53">
        <f t="shared" si="10"/>
        <v>2309793.8336390397</v>
      </c>
      <c r="W62" s="53">
        <f t="shared" si="10"/>
        <v>2368339.7942596031</v>
      </c>
      <c r="X62" s="53">
        <f t="shared" si="10"/>
        <v>2428881.5214988901</v>
      </c>
      <c r="Y62" s="53">
        <f t="shared" si="10"/>
        <v>2491454.7735272134</v>
      </c>
      <c r="Z62" s="53">
        <f t="shared" si="10"/>
        <v>10088069.827092914</v>
      </c>
      <c r="AA62" s="53">
        <f t="shared" si="10"/>
        <v>2622849.6495550424</v>
      </c>
      <c r="AB62" s="53">
        <f t="shared" si="10"/>
        <v>2691753.5426600887</v>
      </c>
      <c r="AC62" s="53">
        <f t="shared" si="10"/>
        <v>2762853.4989360608</v>
      </c>
      <c r="AD62" s="53">
        <f t="shared" si="10"/>
        <v>2836196.0296145068</v>
      </c>
      <c r="AE62" s="53">
        <f t="shared" si="10"/>
        <v>2911829.8085770383</v>
      </c>
      <c r="AF62" s="53">
        <f t="shared" si="10"/>
        <v>2989805.6840423276</v>
      </c>
      <c r="AG62" s="53">
        <f t="shared" si="10"/>
        <v>3070176.6933712843</v>
      </c>
    </row>
    <row r="63" spans="1:33" s="47" customFormat="1">
      <c r="A63" s="44"/>
      <c r="B63" s="15"/>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row>
    <row r="64" spans="1:33" s="47" customFormat="1">
      <c r="A64" s="44"/>
      <c r="B64" s="15"/>
      <c r="C64" s="45"/>
      <c r="D64" s="46"/>
      <c r="E64" s="48"/>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row>
    <row r="65" spans="1:33" s="47" customFormat="1">
      <c r="A65" s="44"/>
      <c r="B65" s="15" t="s">
        <v>201</v>
      </c>
      <c r="C65" s="45"/>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row>
    <row r="66" spans="1:33" s="47" customFormat="1">
      <c r="A66" s="44"/>
      <c r="B66" s="16" t="s">
        <v>92</v>
      </c>
      <c r="C66" s="49"/>
      <c r="D66" s="46">
        <f>SUM(D59:AG59)</f>
        <v>187429382.76041871</v>
      </c>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row>
    <row r="67" spans="1:33" s="47" customFormat="1">
      <c r="A67" s="44"/>
      <c r="B67" s="16" t="s">
        <v>93</v>
      </c>
      <c r="C67" s="16"/>
      <c r="D67" s="50">
        <f>SUM(D62:AG62)</f>
        <v>77710975.539578184</v>
      </c>
    </row>
  </sheetData>
  <mergeCells count="4">
    <mergeCell ref="A1:B1"/>
    <mergeCell ref="A15:A18"/>
    <mergeCell ref="A29:A32"/>
    <mergeCell ref="A21:A2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24"/>
  <sheetViews>
    <sheetView workbookViewId="0">
      <selection activeCell="H42" sqref="H42"/>
    </sheetView>
  </sheetViews>
  <sheetFormatPr defaultRowHeight="15"/>
  <sheetData>
    <row r="2" spans="1:2">
      <c r="A2">
        <v>2001</v>
      </c>
      <c r="B2">
        <v>1.72</v>
      </c>
    </row>
    <row r="3" spans="1:2">
      <c r="A3">
        <v>2002</v>
      </c>
      <c r="B3">
        <v>1.69</v>
      </c>
    </row>
    <row r="4" spans="1:2">
      <c r="A4">
        <v>2003</v>
      </c>
      <c r="B4">
        <v>1.66</v>
      </c>
    </row>
    <row r="5" spans="1:2">
      <c r="A5">
        <v>2004</v>
      </c>
      <c r="B5">
        <v>1.61</v>
      </c>
    </row>
    <row r="6" spans="1:2">
      <c r="A6">
        <v>2005</v>
      </c>
      <c r="B6">
        <v>1.56</v>
      </c>
    </row>
    <row r="7" spans="1:2">
      <c r="A7">
        <v>2006</v>
      </c>
      <c r="B7">
        <v>1.51</v>
      </c>
    </row>
    <row r="8" spans="1:2">
      <c r="A8">
        <v>2007</v>
      </c>
      <c r="B8">
        <v>1.47</v>
      </c>
    </row>
    <row r="9" spans="1:2">
      <c r="A9">
        <v>2008</v>
      </c>
      <c r="B9">
        <v>1.42</v>
      </c>
    </row>
    <row r="10" spans="1:2">
      <c r="A10">
        <v>2009</v>
      </c>
      <c r="B10">
        <v>1.42</v>
      </c>
    </row>
    <row r="11" spans="1:2">
      <c r="A11">
        <v>2010</v>
      </c>
      <c r="B11">
        <v>1.4</v>
      </c>
    </row>
    <row r="12" spans="1:2">
      <c r="A12">
        <v>2011</v>
      </c>
      <c r="B12">
        <v>1.35</v>
      </c>
    </row>
    <row r="13" spans="1:2">
      <c r="A13">
        <v>2012</v>
      </c>
      <c r="B13">
        <v>1.31</v>
      </c>
    </row>
    <row r="14" spans="1:2">
      <c r="A14">
        <v>2013</v>
      </c>
      <c r="B14">
        <v>1.31</v>
      </c>
    </row>
    <row r="15" spans="1:2">
      <c r="A15">
        <v>2014</v>
      </c>
      <c r="B15">
        <v>1.29</v>
      </c>
    </row>
    <row r="16" spans="1:2">
      <c r="A16">
        <v>2015</v>
      </c>
      <c r="B16">
        <v>1.29</v>
      </c>
    </row>
    <row r="17" spans="1:2">
      <c r="A17">
        <v>2016</v>
      </c>
      <c r="B17">
        <v>1.27</v>
      </c>
    </row>
    <row r="18" spans="1:2">
      <c r="A18">
        <v>2017</v>
      </c>
      <c r="B18">
        <v>1.24</v>
      </c>
    </row>
    <row r="19" spans="1:2">
      <c r="A19">
        <v>2018</v>
      </c>
      <c r="B19">
        <v>1.21</v>
      </c>
    </row>
    <row r="20" spans="1:2">
      <c r="A20">
        <v>2019</v>
      </c>
      <c r="B20">
        <v>1.19</v>
      </c>
    </row>
    <row r="21" spans="1:2">
      <c r="A21">
        <v>2020</v>
      </c>
      <c r="B21">
        <v>1.18</v>
      </c>
    </row>
    <row r="22" spans="1:2">
      <c r="A22">
        <v>2021</v>
      </c>
      <c r="B22">
        <v>1.1200000000000001</v>
      </c>
    </row>
    <row r="23" spans="1:2">
      <c r="A23">
        <v>2022</v>
      </c>
      <c r="B23">
        <v>1.04</v>
      </c>
    </row>
    <row r="24" spans="1:2">
      <c r="A24">
        <v>2023</v>
      </c>
      <c r="B24">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workbookViewId="0">
      <selection activeCell="B26" sqref="B26"/>
    </sheetView>
  </sheetViews>
  <sheetFormatPr defaultRowHeight="15"/>
  <cols>
    <col min="1" max="1" width="30.140625" bestFit="1" customWidth="1"/>
    <col min="2" max="2" width="17.28515625" customWidth="1"/>
    <col min="3" max="3" width="19.5703125" customWidth="1"/>
    <col min="6" max="6" width="9.7109375" customWidth="1"/>
  </cols>
  <sheetData>
    <row r="1" spans="1:6">
      <c r="A1" s="90" t="s">
        <v>0</v>
      </c>
    </row>
    <row r="3" spans="1:6">
      <c r="B3" s="160" t="s">
        <v>1</v>
      </c>
      <c r="C3" s="160"/>
    </row>
    <row r="4" spans="1:6">
      <c r="B4" s="138">
        <v>0.03</v>
      </c>
      <c r="C4" s="93">
        <v>7.0000000000000007E-2</v>
      </c>
    </row>
    <row r="5" spans="1:6">
      <c r="A5" s="94" t="s">
        <v>2</v>
      </c>
      <c r="B5" s="18">
        <v>29411250</v>
      </c>
      <c r="C5" s="18">
        <v>29411250</v>
      </c>
    </row>
    <row r="6" spans="1:6">
      <c r="A6" s="95" t="s">
        <v>3</v>
      </c>
      <c r="B6" s="14"/>
      <c r="C6" s="14"/>
    </row>
    <row r="7" spans="1:6">
      <c r="A7" s="3" t="s">
        <v>4</v>
      </c>
      <c r="B7" s="96">
        <f>Maintenance!C15</f>
        <v>114384025.93006255</v>
      </c>
      <c r="C7" s="96">
        <f>Maintenance!C16</f>
        <v>45729088.371371329</v>
      </c>
      <c r="F7" s="139"/>
    </row>
    <row r="8" spans="1:6">
      <c r="A8" s="3" t="s">
        <v>5</v>
      </c>
      <c r="B8" s="96">
        <f>'Fuel Savings'!C15</f>
        <v>3653011.0069680731</v>
      </c>
      <c r="C8" s="96">
        <f>'Fuel Savings'!C16</f>
        <v>1928610.4783117559</v>
      </c>
      <c r="F8" s="139"/>
    </row>
    <row r="9" spans="1:6">
      <c r="A9" s="3" t="s">
        <v>6</v>
      </c>
      <c r="B9" s="96">
        <f>Emissions!C15</f>
        <v>1127941.5336754925</v>
      </c>
      <c r="C9" s="96">
        <f>Emissions!C16</f>
        <v>579229.40507929202</v>
      </c>
      <c r="F9" s="139"/>
    </row>
    <row r="10" spans="1:6">
      <c r="A10" s="3"/>
      <c r="B10" s="97"/>
      <c r="C10" s="97"/>
    </row>
    <row r="11" spans="1:6">
      <c r="A11" s="98" t="s">
        <v>8</v>
      </c>
      <c r="B11" s="17">
        <f>SUM(B7:B9)</f>
        <v>119164978.47070611</v>
      </c>
      <c r="C11" s="17">
        <f>SUM(C7:C9)</f>
        <v>48236928.254762374</v>
      </c>
      <c r="F11" s="140"/>
    </row>
    <row r="12" spans="1:6">
      <c r="A12" s="94" t="s">
        <v>9</v>
      </c>
      <c r="B12" s="17">
        <f>(SUM(B7:B9))-B5</f>
        <v>89753728.470706105</v>
      </c>
      <c r="C12" s="17">
        <f>(SUM(C7:C9))-C5</f>
        <v>18825678.254762374</v>
      </c>
    </row>
    <row r="13" spans="1:6">
      <c r="A13" s="99" t="s">
        <v>10</v>
      </c>
      <c r="B13" s="100">
        <f>B11/B5</f>
        <v>4.0516801724070248</v>
      </c>
      <c r="C13" s="100">
        <f>C11/C5</f>
        <v>1.6400842621365082</v>
      </c>
    </row>
    <row r="14" spans="1:6">
      <c r="A14" s="99"/>
      <c r="B14" s="101"/>
      <c r="C14" s="101"/>
    </row>
  </sheetData>
  <mergeCells count="1">
    <mergeCell ref="B3:C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738FF-8CB0-4DEF-9079-4280659A66B1}">
  <dimension ref="A1:C13"/>
  <sheetViews>
    <sheetView workbookViewId="0">
      <selection sqref="A1:C13"/>
    </sheetView>
  </sheetViews>
  <sheetFormatPr defaultRowHeight="15"/>
  <cols>
    <col min="1" max="1" width="30.140625" customWidth="1"/>
    <col min="2" max="2" width="14.5703125" customWidth="1"/>
    <col min="3" max="3" width="14.42578125" customWidth="1"/>
  </cols>
  <sheetData>
    <row r="1" spans="1:3" ht="15.75" thickBot="1">
      <c r="A1" s="126"/>
      <c r="B1" s="126"/>
      <c r="C1" s="126"/>
    </row>
    <row r="2" spans="1:3">
      <c r="A2" s="161" t="s">
        <v>11</v>
      </c>
      <c r="B2" s="161"/>
      <c r="C2" s="161"/>
    </row>
    <row r="3" spans="1:3">
      <c r="A3" s="127"/>
      <c r="B3" s="127"/>
      <c r="C3" s="127"/>
    </row>
    <row r="4" spans="1:3">
      <c r="A4" s="128" t="s">
        <v>1</v>
      </c>
      <c r="B4" s="129">
        <v>0.03</v>
      </c>
      <c r="C4" s="129">
        <v>7.0000000000000007E-2</v>
      </c>
    </row>
    <row r="5" spans="1:3">
      <c r="A5" s="127" t="s">
        <v>2</v>
      </c>
      <c r="B5" s="130">
        <f>Summary!B5</f>
        <v>29411250</v>
      </c>
      <c r="C5" s="130">
        <f>Summary!C5</f>
        <v>29411250</v>
      </c>
    </row>
    <row r="6" spans="1:3">
      <c r="A6" s="131" t="s">
        <v>12</v>
      </c>
      <c r="B6" s="132">
        <f>Summary!B7</f>
        <v>114384025.93006255</v>
      </c>
      <c r="C6" s="132">
        <f>Summary!C7</f>
        <v>45729088.371371329</v>
      </c>
    </row>
    <row r="7" spans="1:3">
      <c r="A7" s="127" t="s">
        <v>5</v>
      </c>
      <c r="B7" s="130">
        <f>Summary!B8</f>
        <v>3653011.0069680731</v>
      </c>
      <c r="C7" s="130">
        <f>Summary!C8</f>
        <v>1928610.4783117559</v>
      </c>
    </row>
    <row r="8" spans="1:3">
      <c r="A8" s="127" t="s">
        <v>6</v>
      </c>
      <c r="B8" s="130">
        <f>Summary!B9</f>
        <v>1127941.5336754925</v>
      </c>
      <c r="C8" s="130">
        <f>Summary!C9</f>
        <v>579229.40507929202</v>
      </c>
    </row>
    <row r="9" spans="1:3">
      <c r="A9" s="127" t="s">
        <v>13</v>
      </c>
      <c r="B9" s="130" t="e">
        <f>Summary!#REF!</f>
        <v>#REF!</v>
      </c>
      <c r="C9" s="130" t="e">
        <f>Summary!#REF!</f>
        <v>#REF!</v>
      </c>
    </row>
    <row r="10" spans="1:3">
      <c r="A10" s="127"/>
      <c r="B10" s="127"/>
      <c r="C10" s="127"/>
    </row>
    <row r="11" spans="1:3">
      <c r="A11" s="133" t="s">
        <v>8</v>
      </c>
      <c r="B11" s="134">
        <f>Summary!B11</f>
        <v>119164978.47070611</v>
      </c>
      <c r="C11" s="134">
        <f>Summary!C11</f>
        <v>48236928.254762374</v>
      </c>
    </row>
    <row r="12" spans="1:3">
      <c r="A12" s="135" t="s">
        <v>9</v>
      </c>
      <c r="B12" s="136">
        <f>Summary!B12</f>
        <v>89753728.470706105</v>
      </c>
      <c r="C12" s="136">
        <f>Summary!C12</f>
        <v>18825678.254762374</v>
      </c>
    </row>
    <row r="13" spans="1:3">
      <c r="A13" s="131" t="s">
        <v>10</v>
      </c>
      <c r="B13" s="137">
        <f>Summary!B13</f>
        <v>4.0516801724070248</v>
      </c>
      <c r="C13" s="137">
        <f>Summary!C13</f>
        <v>1.6400842621365082</v>
      </c>
    </row>
  </sheetData>
  <mergeCells count="1">
    <mergeCell ref="A2:C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03"/>
  <sheetViews>
    <sheetView topLeftCell="A20" zoomScale="80" zoomScaleNormal="80" workbookViewId="0">
      <selection activeCell="G2" sqref="G2"/>
    </sheetView>
  </sheetViews>
  <sheetFormatPr defaultRowHeight="15"/>
  <cols>
    <col min="1" max="1" width="31.42578125" customWidth="1"/>
    <col min="2" max="2" width="70.42578125" customWidth="1"/>
    <col min="3" max="3" width="16" customWidth="1"/>
    <col min="4" max="5" width="17.140625" customWidth="1"/>
    <col min="6" max="6" width="27.85546875" customWidth="1"/>
    <col min="7" max="7" width="18.5703125" customWidth="1"/>
    <col min="8" max="8" width="12.7109375" customWidth="1"/>
    <col min="9" max="15" width="12.28515625" customWidth="1"/>
    <col min="16" max="27" width="12.140625" customWidth="1"/>
    <col min="28" max="28" width="14.28515625" customWidth="1"/>
    <col min="29" max="29" width="12.42578125" customWidth="1"/>
    <col min="30" max="30" width="12.28515625" customWidth="1"/>
    <col min="31" max="32" width="12.7109375" customWidth="1"/>
    <col min="33" max="33" width="12.28515625" customWidth="1"/>
    <col min="34" max="34" width="18" customWidth="1"/>
  </cols>
  <sheetData>
    <row r="1" spans="1:10">
      <c r="G1" s="2">
        <f>SUM(G4:G6)</f>
        <v>28940250</v>
      </c>
    </row>
    <row r="2" spans="1:10">
      <c r="A2" s="47"/>
      <c r="C2" s="3" t="s">
        <v>14</v>
      </c>
      <c r="D2" s="3" t="s">
        <v>15</v>
      </c>
      <c r="E2" s="3" t="s">
        <v>16</v>
      </c>
      <c r="F2" s="3" t="s">
        <v>17</v>
      </c>
      <c r="G2" s="3" t="s">
        <v>18</v>
      </c>
      <c r="H2" s="3" t="s">
        <v>19</v>
      </c>
    </row>
    <row r="3" spans="1:10">
      <c r="B3" s="3" t="s">
        <v>20</v>
      </c>
      <c r="C3" s="3"/>
      <c r="D3" s="3"/>
      <c r="E3" s="3"/>
      <c r="F3" s="3"/>
      <c r="G3" s="3"/>
      <c r="H3" s="3"/>
    </row>
    <row r="4" spans="1:10">
      <c r="B4" t="s">
        <v>21</v>
      </c>
      <c r="C4">
        <v>24</v>
      </c>
      <c r="D4" t="s">
        <v>22</v>
      </c>
      <c r="E4" t="s">
        <v>22</v>
      </c>
      <c r="F4" s="2">
        <v>980375</v>
      </c>
      <c r="G4" s="2">
        <f>F4*C4</f>
        <v>23529000</v>
      </c>
    </row>
    <row r="5" spans="1:10">
      <c r="B5" t="s">
        <v>23</v>
      </c>
      <c r="C5">
        <v>1</v>
      </c>
      <c r="D5" t="s">
        <v>22</v>
      </c>
      <c r="E5" t="s">
        <v>22</v>
      </c>
      <c r="F5" s="2">
        <v>1575000</v>
      </c>
      <c r="G5" s="2">
        <f>F5*C5</f>
        <v>1575000</v>
      </c>
      <c r="J5" s="2"/>
    </row>
    <row r="6" spans="1:10">
      <c r="B6" t="s">
        <v>24</v>
      </c>
      <c r="C6">
        <v>1</v>
      </c>
      <c r="D6" t="s">
        <v>22</v>
      </c>
      <c r="E6" t="s">
        <v>22</v>
      </c>
      <c r="F6" s="2">
        <v>3836250</v>
      </c>
      <c r="G6" s="2">
        <f>F6*C6</f>
        <v>3836250</v>
      </c>
    </row>
    <row r="7" spans="1:10">
      <c r="F7" s="2"/>
      <c r="G7" s="2"/>
    </row>
    <row r="8" spans="1:10">
      <c r="B8" t="s">
        <v>25</v>
      </c>
      <c r="C8" s="125">
        <v>21</v>
      </c>
      <c r="D8" t="s">
        <v>22</v>
      </c>
      <c r="E8" t="s">
        <v>22</v>
      </c>
      <c r="F8" s="144">
        <f>85000</f>
        <v>85000</v>
      </c>
      <c r="G8" s="144">
        <f>F8*C8</f>
        <v>1785000</v>
      </c>
      <c r="H8" t="s">
        <v>26</v>
      </c>
    </row>
    <row r="9" spans="1:10">
      <c r="B9" t="s">
        <v>27</v>
      </c>
      <c r="C9" s="125">
        <v>10</v>
      </c>
      <c r="F9" s="144">
        <f>85000</f>
        <v>85000</v>
      </c>
      <c r="G9" s="144">
        <f>F8*C8</f>
        <v>1785000</v>
      </c>
      <c r="H9" t="s">
        <v>26</v>
      </c>
    </row>
    <row r="10" spans="1:10">
      <c r="B10" t="s">
        <v>28</v>
      </c>
      <c r="C10" s="47">
        <v>8</v>
      </c>
      <c r="D10" t="s">
        <v>22</v>
      </c>
      <c r="E10" t="s">
        <v>22</v>
      </c>
      <c r="F10" s="2"/>
      <c r="G10" s="2"/>
      <c r="H10" t="s">
        <v>29</v>
      </c>
    </row>
    <row r="11" spans="1:10">
      <c r="F11" s="2"/>
      <c r="G11" s="2"/>
    </row>
    <row r="12" spans="1:10">
      <c r="B12" t="s">
        <v>30</v>
      </c>
      <c r="C12" s="1">
        <v>2.1600000000000001E-2</v>
      </c>
      <c r="D12" s="1"/>
      <c r="E12" s="1"/>
      <c r="H12" t="s">
        <v>31</v>
      </c>
    </row>
    <row r="13" spans="1:10">
      <c r="C13" s="1"/>
      <c r="D13" s="1"/>
      <c r="E13" s="1"/>
    </row>
    <row r="14" spans="1:10">
      <c r="B14" t="s">
        <v>32</v>
      </c>
      <c r="G14">
        <v>2023</v>
      </c>
    </row>
    <row r="15" spans="1:10">
      <c r="C15" s="1"/>
      <c r="D15" s="1"/>
      <c r="E15" s="1"/>
    </row>
    <row r="16" spans="1:10">
      <c r="B16" s="3" t="s">
        <v>33</v>
      </c>
      <c r="C16" s="1"/>
      <c r="D16" s="1"/>
      <c r="E16" s="1"/>
    </row>
    <row r="17" spans="2:8">
      <c r="B17" t="s">
        <v>34</v>
      </c>
      <c r="C17" s="21"/>
      <c r="D17" s="2">
        <f>16855.861145874+5000</f>
        <v>21855.861145874002</v>
      </c>
      <c r="E17" s="21">
        <v>2015</v>
      </c>
      <c r="F17" s="2">
        <f>D17*VLOOKUP(E17,'2023 Dollar Value Lookup'!$A$2:$B$17,2)</f>
        <v>28194.060878177464</v>
      </c>
      <c r="G17" s="2"/>
      <c r="H17" t="s">
        <v>35</v>
      </c>
    </row>
    <row r="18" spans="2:8">
      <c r="B18" t="s">
        <v>36</v>
      </c>
      <c r="C18" s="5">
        <v>0.08</v>
      </c>
      <c r="D18" s="5"/>
      <c r="E18" s="5"/>
      <c r="F18" s="2"/>
    </row>
    <row r="19" spans="2:8">
      <c r="B19" t="s">
        <v>37</v>
      </c>
      <c r="C19" s="5">
        <v>0.1</v>
      </c>
      <c r="D19" s="5"/>
      <c r="E19" s="5"/>
      <c r="F19" s="2"/>
    </row>
    <row r="20" spans="2:8">
      <c r="C20" s="5"/>
      <c r="D20" s="5"/>
      <c r="E20" s="5"/>
      <c r="F20" s="2"/>
    </row>
    <row r="21" spans="2:8">
      <c r="B21" t="s">
        <v>38</v>
      </c>
      <c r="D21" s="2">
        <v>16855.861145874002</v>
      </c>
      <c r="E21">
        <v>2015</v>
      </c>
      <c r="F21" s="2">
        <f>D21*VLOOKUP(E21,'2023 Dollar Value Lookup'!$A$2:$B$17,2)</f>
        <v>21744.060878177461</v>
      </c>
      <c r="G21" s="23"/>
      <c r="H21" t="s">
        <v>39</v>
      </c>
    </row>
    <row r="22" spans="2:8">
      <c r="B22" t="s">
        <v>40</v>
      </c>
      <c r="C22" s="5">
        <v>0.02</v>
      </c>
      <c r="D22" s="5"/>
      <c r="E22" s="5"/>
    </row>
    <row r="23" spans="2:8">
      <c r="C23" s="5"/>
      <c r="D23" s="5"/>
      <c r="E23" s="5"/>
    </row>
    <row r="24" spans="2:8">
      <c r="B24" s="3" t="s">
        <v>41</v>
      </c>
    </row>
    <row r="25" spans="2:8">
      <c r="B25" s="10" t="s">
        <v>42</v>
      </c>
      <c r="C25" s="22">
        <f>SUM(525150+200138)</f>
        <v>725288</v>
      </c>
      <c r="D25" s="22"/>
      <c r="E25" s="22"/>
    </row>
    <row r="26" spans="2:8">
      <c r="B26" s="149" t="s">
        <v>43</v>
      </c>
      <c r="C26" s="22">
        <f>SUM(81746+131288)</f>
        <v>213034</v>
      </c>
      <c r="D26" s="22"/>
      <c r="E26" s="22"/>
    </row>
    <row r="27" spans="2:8">
      <c r="B27" s="10" t="s">
        <v>44</v>
      </c>
      <c r="C27" s="22">
        <v>505280</v>
      </c>
      <c r="D27" s="22"/>
      <c r="E27" s="22"/>
      <c r="H27" t="s">
        <v>45</v>
      </c>
    </row>
    <row r="28" spans="2:8">
      <c r="B28" s="150" t="s">
        <v>46</v>
      </c>
      <c r="C28" s="22">
        <v>281884</v>
      </c>
      <c r="D28" s="22"/>
      <c r="E28" s="22"/>
    </row>
    <row r="29" spans="2:8">
      <c r="D29" s="22"/>
      <c r="E29" s="22"/>
    </row>
    <row r="30" spans="2:8">
      <c r="B30" s="3"/>
    </row>
    <row r="31" spans="2:8">
      <c r="B31" s="10" t="s">
        <v>47</v>
      </c>
      <c r="D31" s="24"/>
      <c r="E31" s="24"/>
      <c r="F31" s="24">
        <v>1.72</v>
      </c>
      <c r="G31" s="26">
        <f>C27/C34*F31</f>
        <v>228705.68421052629</v>
      </c>
      <c r="H31" t="s">
        <v>48</v>
      </c>
    </row>
    <row r="32" spans="2:8">
      <c r="B32" s="10" t="s">
        <v>49</v>
      </c>
      <c r="D32" s="24"/>
      <c r="E32" s="24"/>
      <c r="F32" s="24">
        <v>3.17</v>
      </c>
      <c r="G32" s="26">
        <f>C28/C35*F32</f>
        <v>223393.07</v>
      </c>
      <c r="H32" t="s">
        <v>50</v>
      </c>
    </row>
    <row r="33" spans="2:8">
      <c r="B33" t="s">
        <v>51</v>
      </c>
      <c r="C33" s="4">
        <v>8.9999999999999993E-3</v>
      </c>
      <c r="D33" s="4"/>
      <c r="E33" s="4"/>
      <c r="H33" t="s">
        <v>52</v>
      </c>
    </row>
    <row r="34" spans="2:8">
      <c r="B34" s="10" t="s">
        <v>53</v>
      </c>
      <c r="C34" s="124">
        <v>3.8</v>
      </c>
      <c r="D34" s="25"/>
      <c r="E34" s="25"/>
      <c r="H34" s="47" t="s">
        <v>54</v>
      </c>
    </row>
    <row r="35" spans="2:8">
      <c r="B35" s="10" t="s">
        <v>53</v>
      </c>
      <c r="C35" s="25">
        <v>4</v>
      </c>
      <c r="D35" s="25"/>
      <c r="E35" s="25"/>
      <c r="H35" t="s">
        <v>54</v>
      </c>
    </row>
    <row r="36" spans="2:8">
      <c r="B36" s="10"/>
      <c r="C36" s="24"/>
      <c r="D36" s="24"/>
      <c r="E36" s="24"/>
    </row>
    <row r="37" spans="2:8">
      <c r="B37" s="10" t="s">
        <v>55</v>
      </c>
      <c r="D37" s="24"/>
      <c r="E37" s="24"/>
      <c r="F37" s="24">
        <v>0.16900000000000001</v>
      </c>
      <c r="G37" s="26">
        <f>C25/C39*F37</f>
        <v>76132.715527950306</v>
      </c>
      <c r="H37" t="s">
        <v>56</v>
      </c>
    </row>
    <row r="38" spans="2:8">
      <c r="B38" t="s">
        <v>51</v>
      </c>
      <c r="C38" s="4">
        <v>1E-3</v>
      </c>
      <c r="D38" s="4"/>
      <c r="E38" s="4"/>
      <c r="H38" t="s">
        <v>57</v>
      </c>
    </row>
    <row r="39" spans="2:8">
      <c r="B39" s="10" t="s">
        <v>58</v>
      </c>
      <c r="C39" s="124">
        <v>1.61</v>
      </c>
      <c r="D39" s="25"/>
      <c r="E39" s="25"/>
      <c r="H39" s="47" t="s">
        <v>59</v>
      </c>
    </row>
    <row r="40" spans="2:8">
      <c r="B40" s="10"/>
      <c r="C40" s="25"/>
      <c r="D40" s="25"/>
      <c r="E40" s="25"/>
    </row>
    <row r="41" spans="2:8" hidden="1">
      <c r="B41" s="3" t="s">
        <v>60</v>
      </c>
      <c r="C41" s="25" t="s">
        <v>61</v>
      </c>
      <c r="D41" s="25"/>
      <c r="E41" s="25"/>
    </row>
    <row r="42" spans="2:8" hidden="1">
      <c r="B42" s="10" t="s">
        <v>62</v>
      </c>
      <c r="C42" s="22">
        <f>SUM(D42/2)</f>
        <v>246773.5</v>
      </c>
      <c r="D42" s="25">
        <f>SUM(451032+42515)</f>
        <v>493547</v>
      </c>
      <c r="E42" s="25"/>
      <c r="H42" s="141" t="s">
        <v>63</v>
      </c>
    </row>
    <row r="43" spans="2:8" hidden="1">
      <c r="B43" s="10" t="s">
        <v>64</v>
      </c>
      <c r="C43" s="4">
        <v>0</v>
      </c>
      <c r="D43" s="25"/>
      <c r="E43" s="25"/>
      <c r="H43" t="s">
        <v>65</v>
      </c>
    </row>
    <row r="44" spans="2:8" hidden="1">
      <c r="B44" s="10" t="s">
        <v>66</v>
      </c>
      <c r="C44" s="4">
        <v>7.4999999999999997E-3</v>
      </c>
      <c r="D44" s="25"/>
      <c r="E44" s="25"/>
    </row>
    <row r="45" spans="2:8" hidden="1">
      <c r="B45" s="10" t="s">
        <v>67</v>
      </c>
      <c r="C45" s="112">
        <f>SUM(D45/2)</f>
        <v>159445</v>
      </c>
      <c r="D45" s="25">
        <f>SUM(293582+25308)</f>
        <v>318890</v>
      </c>
      <c r="E45" s="25"/>
      <c r="H45" t="s">
        <v>68</v>
      </c>
    </row>
    <row r="46" spans="2:8" hidden="1">
      <c r="B46" s="10" t="s">
        <v>69</v>
      </c>
      <c r="C46" s="124">
        <v>3</v>
      </c>
      <c r="D46" s="25"/>
      <c r="E46" s="25"/>
      <c r="H46" t="s">
        <v>70</v>
      </c>
    </row>
    <row r="47" spans="2:8" hidden="1">
      <c r="B47" s="10" t="s">
        <v>71</v>
      </c>
      <c r="C47" s="124">
        <v>1</v>
      </c>
      <c r="H47" t="s">
        <v>72</v>
      </c>
    </row>
    <row r="48" spans="2:8" hidden="1">
      <c r="B48" t="s">
        <v>73</v>
      </c>
      <c r="C48" s="23">
        <v>147.53</v>
      </c>
      <c r="H48" t="s">
        <v>74</v>
      </c>
    </row>
    <row r="49" spans="2:8" hidden="1">
      <c r="B49" t="s">
        <v>75</v>
      </c>
      <c r="C49" s="23">
        <v>42.35</v>
      </c>
      <c r="H49" t="s">
        <v>76</v>
      </c>
    </row>
    <row r="50" spans="2:8" hidden="1">
      <c r="B50" s="10" t="s">
        <v>77</v>
      </c>
      <c r="C50" s="123">
        <v>0.97799999999999998</v>
      </c>
    </row>
    <row r="52" spans="2:8">
      <c r="B52" t="s">
        <v>78</v>
      </c>
      <c r="C52" s="1">
        <v>0.03</v>
      </c>
      <c r="D52" s="1"/>
    </row>
    <row r="53" spans="2:8">
      <c r="C53" s="1">
        <v>7.0000000000000007E-2</v>
      </c>
      <c r="D53" s="1"/>
    </row>
    <row r="96" spans="6:7">
      <c r="F96" t="s">
        <v>79</v>
      </c>
      <c r="G96" s="2" t="e">
        <f>#REF!</f>
        <v>#REF!</v>
      </c>
    </row>
    <row r="97" spans="6:7">
      <c r="F97" t="s">
        <v>80</v>
      </c>
      <c r="G97" s="2">
        <f>'BEB Purchase Scenario'!E51</f>
        <v>0</v>
      </c>
    </row>
    <row r="98" spans="6:7">
      <c r="F98" t="s">
        <v>81</v>
      </c>
      <c r="G98" s="2" t="e">
        <f>G96-G97</f>
        <v>#REF!</v>
      </c>
    </row>
    <row r="99" spans="6:7">
      <c r="G99" s="2"/>
    </row>
    <row r="100" spans="6:7">
      <c r="F100" t="s">
        <v>82</v>
      </c>
      <c r="G100" s="2">
        <v>2141634</v>
      </c>
    </row>
    <row r="102" spans="6:7">
      <c r="F102" t="s">
        <v>83</v>
      </c>
    </row>
    <row r="103" spans="6:7">
      <c r="F103" s="2" t="e">
        <f>G100+G98</f>
        <v>#REF!</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F17"/>
  <sheetViews>
    <sheetView workbookViewId="0">
      <selection activeCell="E27" sqref="E27"/>
    </sheetView>
  </sheetViews>
  <sheetFormatPr defaultRowHeight="15"/>
  <cols>
    <col min="1" max="1" width="21.85546875" customWidth="1"/>
    <col min="2" max="2" width="27.5703125" customWidth="1"/>
    <col min="3" max="3" width="12.140625" bestFit="1" customWidth="1"/>
    <col min="4" max="16" width="10.140625" bestFit="1" customWidth="1"/>
    <col min="17" max="17" width="11.140625" bestFit="1" customWidth="1"/>
    <col min="18" max="32" width="10.140625" bestFit="1" customWidth="1"/>
  </cols>
  <sheetData>
    <row r="1" spans="1:32">
      <c r="A1" s="3" t="s">
        <v>84</v>
      </c>
    </row>
    <row r="3" spans="1:32">
      <c r="C3" s="6">
        <v>2028</v>
      </c>
      <c r="D3" s="6">
        <v>2029</v>
      </c>
      <c r="E3" s="6">
        <v>2030</v>
      </c>
      <c r="F3" s="6">
        <v>2031</v>
      </c>
      <c r="G3" s="6">
        <v>2032</v>
      </c>
      <c r="H3" s="6">
        <v>2033</v>
      </c>
      <c r="I3" s="6">
        <v>2034</v>
      </c>
      <c r="J3" s="6">
        <v>2035</v>
      </c>
      <c r="K3" s="6">
        <v>2036</v>
      </c>
      <c r="L3" s="6">
        <v>2037</v>
      </c>
      <c r="M3" s="6">
        <v>2038</v>
      </c>
      <c r="N3" s="6">
        <v>2039</v>
      </c>
      <c r="O3" s="6">
        <v>2040</v>
      </c>
      <c r="P3" s="6">
        <v>2041</v>
      </c>
      <c r="Q3" s="6">
        <v>2042</v>
      </c>
      <c r="R3" s="6">
        <v>2043</v>
      </c>
      <c r="S3" s="6">
        <v>2044</v>
      </c>
      <c r="T3" s="6">
        <v>2045</v>
      </c>
      <c r="U3" s="6">
        <v>2046</v>
      </c>
      <c r="V3" s="6">
        <v>2047</v>
      </c>
      <c r="W3" s="6">
        <v>2048</v>
      </c>
      <c r="X3" s="6">
        <v>2049</v>
      </c>
      <c r="Y3" s="6">
        <v>2050</v>
      </c>
      <c r="Z3" s="6">
        <v>2051</v>
      </c>
      <c r="AA3" s="6">
        <v>2052</v>
      </c>
      <c r="AB3" s="6">
        <v>2053</v>
      </c>
      <c r="AC3" s="6">
        <v>2054</v>
      </c>
      <c r="AD3" s="6">
        <v>2055</v>
      </c>
      <c r="AE3" s="6">
        <v>2056</v>
      </c>
      <c r="AF3" s="6">
        <v>2057</v>
      </c>
    </row>
    <row r="4" spans="1:32">
      <c r="B4" t="s">
        <v>85</v>
      </c>
      <c r="C4" s="53">
        <f>'BEB Purchase Scenario'!D11</f>
        <v>57385.605895839893</v>
      </c>
      <c r="D4" s="53">
        <f>'BEB Purchase Scenario'!E11</f>
        <v>57442.991501735713</v>
      </c>
      <c r="E4" s="53">
        <f>'BEB Purchase Scenario'!F11</f>
        <v>57500.434493237437</v>
      </c>
      <c r="F4" s="53">
        <f>'BEB Purchase Scenario'!G11</f>
        <v>57557.934927730676</v>
      </c>
      <c r="G4" s="53">
        <f>'BEB Purchase Scenario'!H11</f>
        <v>57615.492862658401</v>
      </c>
      <c r="H4" s="53">
        <f>'BEB Purchase Scenario'!I11</f>
        <v>57673.10835552105</v>
      </c>
      <c r="I4" s="53">
        <f>'BEB Purchase Scenario'!J11</f>
        <v>57730.781463876556</v>
      </c>
      <c r="J4" s="53">
        <f>'BEB Purchase Scenario'!K11</f>
        <v>57788.512245340433</v>
      </c>
      <c r="K4" s="53">
        <f>'BEB Purchase Scenario'!L11</f>
        <v>57846.300757585777</v>
      </c>
      <c r="L4" s="53">
        <f>'BEB Purchase Scenario'!M11</f>
        <v>57904.147058343333</v>
      </c>
      <c r="M4" s="53">
        <f>'BEB Purchase Scenario'!N11</f>
        <v>57962.051205401673</v>
      </c>
      <c r="N4" s="53">
        <f>'BEB Purchase Scenario'!O11</f>
        <v>58020.013256607068</v>
      </c>
      <c r="O4" s="53">
        <f>'BEB Purchase Scenario'!P11</f>
        <v>58078.03326986367</v>
      </c>
      <c r="P4" s="53">
        <f>'BEB Purchase Scenario'!Q11</f>
        <v>58136.111303133526</v>
      </c>
      <c r="Q4" s="53">
        <f>'BEB Purchase Scenario'!R11</f>
        <v>58194.24741443665</v>
      </c>
      <c r="R4" s="53">
        <f>'BEB Purchase Scenario'!S11</f>
        <v>58252.441661851088</v>
      </c>
      <c r="S4" s="53">
        <f>'BEB Purchase Scenario'!T11</f>
        <v>58310.694103512928</v>
      </c>
      <c r="T4" s="53">
        <f>'BEB Purchase Scenario'!U11</f>
        <v>58369.004797616413</v>
      </c>
      <c r="U4" s="53">
        <f>'BEB Purchase Scenario'!V11</f>
        <v>58427.373802414018</v>
      </c>
      <c r="V4" s="53">
        <f>'BEB Purchase Scenario'!W11</f>
        <v>58485.801176216453</v>
      </c>
      <c r="W4" s="53">
        <f>'BEB Purchase Scenario'!X11</f>
        <v>58544.286977392665</v>
      </c>
      <c r="X4" s="53">
        <f>'BEB Purchase Scenario'!Y11</f>
        <v>58602.831264370048</v>
      </c>
      <c r="Y4" s="53">
        <f>'BEB Purchase Scenario'!Z11</f>
        <v>58661.434095634395</v>
      </c>
      <c r="Z4" s="53">
        <f>'BEB Purchase Scenario'!AA11</f>
        <v>58720.095529730032</v>
      </c>
      <c r="AA4" s="53">
        <f>'BEB Purchase Scenario'!AB11</f>
        <v>58778.815625259762</v>
      </c>
      <c r="AB4" s="53">
        <f>'BEB Purchase Scenario'!AC11</f>
        <v>58837.59444088499</v>
      </c>
      <c r="AC4" s="53">
        <f>'BEB Purchase Scenario'!AD11</f>
        <v>58896.432035325881</v>
      </c>
      <c r="AD4" s="53">
        <f>'BEB Purchase Scenario'!AE11</f>
        <v>58955.328467361192</v>
      </c>
      <c r="AE4" s="53">
        <f>'BEB Purchase Scenario'!AF11</f>
        <v>59014.283795828553</v>
      </c>
      <c r="AF4" s="53">
        <f>'BEB Purchase Scenario'!AG11</f>
        <v>59073.29807962435</v>
      </c>
    </row>
    <row r="5" spans="1:32">
      <c r="B5" t="s">
        <v>86</v>
      </c>
      <c r="C5" s="102">
        <f>'No Purchase Scenario'!D32</f>
        <v>239184.36638484313</v>
      </c>
      <c r="D5" s="102">
        <f>'No Purchase Scenario'!E32</f>
        <v>241337.0256823067</v>
      </c>
      <c r="E5" s="102">
        <f>'No Purchase Scenario'!F32</f>
        <v>243509.05891344737</v>
      </c>
      <c r="F5" s="102">
        <f>'No Purchase Scenario'!G32</f>
        <v>245700.64044366841</v>
      </c>
      <c r="G5" s="102">
        <f>'No Purchase Scenario'!H32</f>
        <v>247911.94620766139</v>
      </c>
      <c r="H5" s="102">
        <f>'No Purchase Scenario'!I32</f>
        <v>250143.15372353033</v>
      </c>
      <c r="I5" s="102">
        <f>'No Purchase Scenario'!J32</f>
        <v>252394.44210704206</v>
      </c>
      <c r="J5" s="102">
        <f>'No Purchase Scenario'!K32</f>
        <v>254665.99208600548</v>
      </c>
      <c r="K5" s="102">
        <f>'No Purchase Scenario'!L32</f>
        <v>256957.98601477951</v>
      </c>
      <c r="L5" s="102">
        <f>'No Purchase Scenario'!M32</f>
        <v>259270.60788891249</v>
      </c>
      <c r="M5" s="102">
        <f>'No Purchase Scenario'!N32</f>
        <v>261604.04335991264</v>
      </c>
      <c r="N5" s="102">
        <f>'No Purchase Scenario'!O32</f>
        <v>263958.47975015186</v>
      </c>
      <c r="O5" s="102">
        <f>'No Purchase Scenario'!P32</f>
        <v>266334.10606790322</v>
      </c>
      <c r="P5" s="102">
        <f>'No Purchase Scenario'!Q32</f>
        <v>268731.11302251433</v>
      </c>
      <c r="Q5" s="102">
        <f>'No Purchase Scenario'!R32</f>
        <v>271149.69303971686</v>
      </c>
      <c r="R5" s="102">
        <f>'No Purchase Scenario'!S32</f>
        <v>273590.04027707438</v>
      </c>
      <c r="S5" s="102">
        <f>'No Purchase Scenario'!T32</f>
        <v>276052.350639568</v>
      </c>
      <c r="T5" s="102">
        <f>'No Purchase Scenario'!U32</f>
        <v>278536.8217953241</v>
      </c>
      <c r="U5" s="102">
        <f>'No Purchase Scenario'!V32</f>
        <v>281043.65319148195</v>
      </c>
      <c r="V5" s="102">
        <f>'No Purchase Scenario'!W32</f>
        <v>283573.04607020534</v>
      </c>
      <c r="W5" s="102">
        <f>'No Purchase Scenario'!X32</f>
        <v>286125.20348483708</v>
      </c>
      <c r="X5" s="102">
        <f>'No Purchase Scenario'!Y32</f>
        <v>288700.33031620056</v>
      </c>
      <c r="Y5" s="102">
        <f>'No Purchase Scenario'!Z32</f>
        <v>291298.63328904635</v>
      </c>
      <c r="Z5" s="102">
        <f>'No Purchase Scenario'!AA32</f>
        <v>293920.32098864781</v>
      </c>
      <c r="AA5" s="102">
        <f>'No Purchase Scenario'!AB32</f>
        <v>296565.60387754563</v>
      </c>
      <c r="AB5" s="102">
        <f>'No Purchase Scenario'!AC32</f>
        <v>299234.69431244349</v>
      </c>
      <c r="AC5" s="102">
        <f>'No Purchase Scenario'!AD32</f>
        <v>301927.80656125542</v>
      </c>
      <c r="AD5" s="102">
        <f>'No Purchase Scenario'!AE32</f>
        <v>304645.15682030673</v>
      </c>
      <c r="AE5" s="102">
        <f>'No Purchase Scenario'!AF32</f>
        <v>307386.96323168947</v>
      </c>
      <c r="AF5" s="102">
        <f>'No Purchase Scenario'!AG32</f>
        <v>310153.44590077462</v>
      </c>
    </row>
    <row r="6" spans="1:32">
      <c r="B6" s="3" t="s">
        <v>87</v>
      </c>
      <c r="C6" s="2">
        <f t="shared" ref="C6:AF6" si="0">C5-C4</f>
        <v>181798.76048900324</v>
      </c>
      <c r="D6" s="2">
        <f t="shared" si="0"/>
        <v>183894.03418057098</v>
      </c>
      <c r="E6" s="2">
        <f t="shared" si="0"/>
        <v>186008.62442020993</v>
      </c>
      <c r="F6" s="2">
        <f t="shared" si="0"/>
        <v>188142.70551593773</v>
      </c>
      <c r="G6" s="2">
        <f t="shared" si="0"/>
        <v>190296.45334500298</v>
      </c>
      <c r="H6" s="2">
        <f t="shared" si="0"/>
        <v>192470.04536800928</v>
      </c>
      <c r="I6" s="2">
        <f t="shared" si="0"/>
        <v>194663.66064316552</v>
      </c>
      <c r="J6" s="2">
        <f t="shared" si="0"/>
        <v>196877.47984066507</v>
      </c>
      <c r="K6" s="2">
        <f t="shared" si="0"/>
        <v>199111.68525719375</v>
      </c>
      <c r="L6" s="2">
        <f t="shared" si="0"/>
        <v>201366.46083056915</v>
      </c>
      <c r="M6" s="2">
        <f t="shared" si="0"/>
        <v>203641.99215451098</v>
      </c>
      <c r="N6" s="2">
        <f t="shared" si="0"/>
        <v>205938.46649354481</v>
      </c>
      <c r="O6" s="2">
        <f t="shared" si="0"/>
        <v>208256.07279803956</v>
      </c>
      <c r="P6" s="2">
        <f t="shared" si="0"/>
        <v>210595.00171938079</v>
      </c>
      <c r="Q6" s="2">
        <f t="shared" si="0"/>
        <v>212955.4456252802</v>
      </c>
      <c r="R6" s="2">
        <f t="shared" si="0"/>
        <v>215337.59861522331</v>
      </c>
      <c r="S6" s="2">
        <f t="shared" si="0"/>
        <v>217741.65653605509</v>
      </c>
      <c r="T6" s="2">
        <f t="shared" si="0"/>
        <v>220167.81699770768</v>
      </c>
      <c r="U6" s="2">
        <f t="shared" si="0"/>
        <v>222616.27938906793</v>
      </c>
      <c r="V6" s="2">
        <f t="shared" si="0"/>
        <v>225087.24489398889</v>
      </c>
      <c r="W6" s="2">
        <f t="shared" si="0"/>
        <v>227580.9165074444</v>
      </c>
      <c r="X6" s="2">
        <f t="shared" si="0"/>
        <v>230097.4990518305</v>
      </c>
      <c r="Y6" s="2">
        <f t="shared" si="0"/>
        <v>232637.19919341197</v>
      </c>
      <c r="Z6" s="2">
        <f t="shared" si="0"/>
        <v>235200.22545891779</v>
      </c>
      <c r="AA6" s="2">
        <f t="shared" si="0"/>
        <v>237786.78825228586</v>
      </c>
      <c r="AB6" s="2">
        <f t="shared" si="0"/>
        <v>240397.09987155849</v>
      </c>
      <c r="AC6" s="2">
        <f t="shared" si="0"/>
        <v>243031.37452592954</v>
      </c>
      <c r="AD6" s="2">
        <f t="shared" si="0"/>
        <v>245689.82835294554</v>
      </c>
      <c r="AE6" s="2">
        <f t="shared" si="0"/>
        <v>248372.67943586092</v>
      </c>
      <c r="AF6" s="2">
        <f t="shared" si="0"/>
        <v>251080.14782115025</v>
      </c>
    </row>
    <row r="8" spans="1:32">
      <c r="A8" s="38" t="s">
        <v>88</v>
      </c>
      <c r="B8" s="41">
        <v>0.03</v>
      </c>
      <c r="C8" s="25">
        <f>'BEB Purchase Scenario'!D45</f>
        <v>1.1592740742999998</v>
      </c>
      <c r="D8" s="25">
        <f>'BEB Purchase Scenario'!E45</f>
        <v>1.1940522965289999</v>
      </c>
      <c r="E8" s="25">
        <f>'BEB Purchase Scenario'!F45</f>
        <v>1.22987386542487</v>
      </c>
      <c r="F8" s="25">
        <f>'BEB Purchase Scenario'!G45</f>
        <v>1.2667700813876159</v>
      </c>
      <c r="G8" s="25">
        <f>'BEB Purchase Scenario'!H45</f>
        <v>1.3047731838292445</v>
      </c>
      <c r="H8" s="25">
        <f>'BEB Purchase Scenario'!I45</f>
        <v>1.3439163793441218</v>
      </c>
      <c r="I8" s="25">
        <f>'BEB Purchase Scenario'!J45</f>
        <v>1.3842338707244455</v>
      </c>
      <c r="J8" s="25">
        <f>'BEB Purchase Scenario'!K45</f>
        <v>1.4257608868461786</v>
      </c>
      <c r="K8" s="25">
        <f>'BEB Purchase Scenario'!L45</f>
        <v>1.4685337134515639</v>
      </c>
      <c r="L8" s="25">
        <f>'BEB Purchase Scenario'!M45</f>
        <v>1.512589724855111</v>
      </c>
      <c r="M8" s="25">
        <f>'BEB Purchase Scenario'!N45</f>
        <v>1.5579674166007644</v>
      </c>
      <c r="N8" s="25">
        <f>'BEB Purchase Scenario'!O45</f>
        <v>1.6047064390987871</v>
      </c>
      <c r="O8" s="25">
        <f>'BEB Purchase Scenario'!P45</f>
        <v>1.6528476322717507</v>
      </c>
      <c r="P8" s="25">
        <f>'BEB Purchase Scenario'!Q45</f>
        <v>1.7024330612399032</v>
      </c>
      <c r="Q8" s="25">
        <f>'BEB Purchase Scenario'!R45</f>
        <v>1.7535060530771003</v>
      </c>
      <c r="R8" s="25">
        <f>'BEB Purchase Scenario'!S45</f>
        <v>1.8061112346694133</v>
      </c>
      <c r="S8" s="25">
        <f>'BEB Purchase Scenario'!T45</f>
        <v>1.8602945717094954</v>
      </c>
      <c r="T8" s="25">
        <f>'BEB Purchase Scenario'!U45</f>
        <v>1.9161034088607805</v>
      </c>
      <c r="U8" s="25">
        <f>'BEB Purchase Scenario'!V45</f>
        <v>1.973586511126604</v>
      </c>
      <c r="V8" s="25">
        <f>'BEB Purchase Scenario'!W45</f>
        <v>2.0327941064604018</v>
      </c>
      <c r="W8" s="25">
        <f>'BEB Purchase Scenario'!X45</f>
        <v>2.0937779296542138</v>
      </c>
      <c r="X8" s="25">
        <f>'BEB Purchase Scenario'!Y45</f>
        <v>2.1565912675438406</v>
      </c>
      <c r="Y8" s="25">
        <f>'BEB Purchase Scenario'!Z45</f>
        <v>2.2212890055701555</v>
      </c>
      <c r="Z8" s="25">
        <f>'BEB Purchase Scenario'!AA45</f>
        <v>2.2879276757372602</v>
      </c>
      <c r="AA8" s="25">
        <f>'BEB Purchase Scenario'!AB45</f>
        <v>2.3565655060093778</v>
      </c>
      <c r="AB8" s="25">
        <f>'BEB Purchase Scenario'!AC45</f>
        <v>2.4272624711896591</v>
      </c>
      <c r="AC8" s="25">
        <f>'BEB Purchase Scenario'!AD45</f>
        <v>2.5000803453253493</v>
      </c>
      <c r="AD8" s="25">
        <f>'BEB Purchase Scenario'!AE45</f>
        <v>2.5750827556851092</v>
      </c>
      <c r="AE8" s="25">
        <f>'BEB Purchase Scenario'!AF45</f>
        <v>2.6523352383556626</v>
      </c>
      <c r="AF8" s="25">
        <f>'BEB Purchase Scenario'!AG45</f>
        <v>2.7319052955063321</v>
      </c>
    </row>
    <row r="9" spans="1:32">
      <c r="A9" s="38" t="s">
        <v>89</v>
      </c>
      <c r="B9" s="43"/>
      <c r="C9" s="2">
        <f>C6/C8</f>
        <v>156821.20778796688</v>
      </c>
      <c r="D9" s="2">
        <f t="shared" ref="D9:AF9" si="1">D6/D8</f>
        <v>154008.35852427402</v>
      </c>
      <c r="E9" s="2">
        <f t="shared" si="1"/>
        <v>151242.03355272676</v>
      </c>
      <c r="F9" s="2">
        <f t="shared" si="1"/>
        <v>148521.58910308871</v>
      </c>
      <c r="G9" s="2">
        <f t="shared" si="1"/>
        <v>145846.38594925863</v>
      </c>
      <c r="H9" s="2">
        <f t="shared" si="1"/>
        <v>143215.78955823233</v>
      </c>
      <c r="I9" s="2">
        <f t="shared" si="1"/>
        <v>140629.17022922388</v>
      </c>
      <c r="J9" s="2">
        <f t="shared" si="1"/>
        <v>138085.90322334017</v>
      </c>
      <c r="K9" s="2">
        <f t="shared" si="1"/>
        <v>135585.36888418597</v>
      </c>
      <c r="L9" s="2">
        <f t="shared" si="1"/>
        <v>133126.95274976682</v>
      </c>
      <c r="M9" s="2">
        <f t="shared" si="1"/>
        <v>130710.04565604152</v>
      </c>
      <c r="N9" s="2">
        <f t="shared" si="1"/>
        <v>128334.0438324664</v>
      </c>
      <c r="O9" s="2">
        <f t="shared" si="1"/>
        <v>125998.34898985983</v>
      </c>
      <c r="P9" s="2">
        <f t="shared" si="1"/>
        <v>123702.36840090607</v>
      </c>
      <c r="Q9" s="2">
        <f t="shared" si="1"/>
        <v>121445.51497360399</v>
      </c>
      <c r="R9" s="2">
        <f t="shared" si="1"/>
        <v>119227.20731795805</v>
      </c>
      <c r="S9" s="2">
        <f t="shared" si="1"/>
        <v>117046.86980619634</v>
      </c>
      <c r="T9" s="2">
        <f t="shared" si="1"/>
        <v>114903.93262679309</v>
      </c>
      <c r="U9" s="2">
        <f t="shared" si="1"/>
        <v>112797.83183256023</v>
      </c>
      <c r="V9" s="2">
        <f t="shared" si="1"/>
        <v>110728.00938306612</v>
      </c>
      <c r="W9" s="2">
        <f t="shared" si="1"/>
        <v>108693.91318162822</v>
      </c>
      <c r="X9" s="2">
        <f t="shared" si="1"/>
        <v>106694.99710712009</v>
      </c>
      <c r="Y9" s="2">
        <f t="shared" si="1"/>
        <v>104730.72104082161</v>
      </c>
      <c r="Z9" s="2">
        <f t="shared" si="1"/>
        <v>102800.55088853586</v>
      </c>
      <c r="AA9" s="2">
        <f t="shared" si="1"/>
        <v>100903.958598187</v>
      </c>
      <c r="AB9" s="2">
        <f t="shared" si="1"/>
        <v>99040.422173105224</v>
      </c>
      <c r="AC9" s="2">
        <f t="shared" si="1"/>
        <v>97209.425681198467</v>
      </c>
      <c r="AD9" s="2">
        <f t="shared" si="1"/>
        <v>95410.459260203061</v>
      </c>
      <c r="AE9" s="2">
        <f t="shared" si="1"/>
        <v>93643.019119197634</v>
      </c>
      <c r="AF9" s="2">
        <f t="shared" si="1"/>
        <v>91906.607536559939</v>
      </c>
    </row>
    <row r="10" spans="1:32">
      <c r="A10" s="40"/>
      <c r="B10" s="40"/>
    </row>
    <row r="11" spans="1:32">
      <c r="A11" s="40" t="s">
        <v>88</v>
      </c>
      <c r="B11" s="41">
        <v>7.0000000000000007E-2</v>
      </c>
      <c r="C11" s="25">
        <f>'BEB Purchase Scenario'!D48</f>
        <v>1.4025517307000002</v>
      </c>
      <c r="D11" s="25">
        <f>'BEB Purchase Scenario'!E48</f>
        <v>1.5007303518490001</v>
      </c>
      <c r="E11" s="25">
        <f>'BEB Purchase Scenario'!F48</f>
        <v>1.6057814764784302</v>
      </c>
      <c r="F11" s="25">
        <f>'BEB Purchase Scenario'!G48</f>
        <v>1.7181861798319202</v>
      </c>
      <c r="G11" s="25">
        <f>'BEB Purchase Scenario'!H48</f>
        <v>1.8384592124201549</v>
      </c>
      <c r="H11" s="25">
        <f>'BEB Purchase Scenario'!I48</f>
        <v>1.9671513572895656</v>
      </c>
      <c r="I11" s="25">
        <f>'BEB Purchase Scenario'!J48</f>
        <v>2.1048519522998355</v>
      </c>
      <c r="J11" s="25">
        <f>'BEB Purchase Scenario'!K48</f>
        <v>2.2521915889608235</v>
      </c>
      <c r="K11" s="25">
        <f>'BEB Purchase Scenario'!L48</f>
        <v>2.4098450001880813</v>
      </c>
      <c r="L11" s="25">
        <f>'BEB Purchase Scenario'!M48</f>
        <v>2.5785341502012469</v>
      </c>
      <c r="M11" s="25">
        <f>'BEB Purchase Scenario'!N48</f>
        <v>2.7590315407153345</v>
      </c>
      <c r="N11" s="25">
        <f>'BEB Purchase Scenario'!O48</f>
        <v>2.9521637485654075</v>
      </c>
      <c r="O11" s="25">
        <f>'BEB Purchase Scenario'!P48</f>
        <v>3.1588152109649861</v>
      </c>
      <c r="P11" s="25">
        <f>'BEB Purchase Scenario'!Q48</f>
        <v>3.3799322757325352</v>
      </c>
      <c r="Q11" s="25">
        <f>'BEB Purchase Scenario'!R48</f>
        <v>3.6165275350338129</v>
      </c>
      <c r="R11" s="25">
        <f>'BEB Purchase Scenario'!S48</f>
        <v>3.8696844624861795</v>
      </c>
      <c r="S11" s="25">
        <f>'BEB Purchase Scenario'!T48</f>
        <v>4.1405623748602123</v>
      </c>
      <c r="T11" s="25">
        <f>'BEB Purchase Scenario'!U48</f>
        <v>4.4304017411004271</v>
      </c>
      <c r="U11" s="25">
        <f>'BEB Purchase Scenario'!V48</f>
        <v>4.740529862977457</v>
      </c>
      <c r="V11" s="25">
        <f>'BEB Purchase Scenario'!W48</f>
        <v>5.0723669533858793</v>
      </c>
      <c r="W11" s="25">
        <f>'BEB Purchase Scenario'!X48</f>
        <v>5.4274326401228912</v>
      </c>
      <c r="X11" s="25">
        <f>'BEB Purchase Scenario'!Y48</f>
        <v>5.807352924931493</v>
      </c>
      <c r="Y11" s="25">
        <f>'BEB Purchase Scenario'!Z48</f>
        <v>6.2138676296766988</v>
      </c>
      <c r="Z11" s="25">
        <f>'BEB Purchase Scenario'!AA48</f>
        <v>6.6488383637540664</v>
      </c>
      <c r="AA11" s="25">
        <f>'BEB Purchase Scenario'!AB48</f>
        <v>7.1142570492168513</v>
      </c>
      <c r="AB11" s="25">
        <f>'BEB Purchase Scenario'!AC48</f>
        <v>7.6122550426620306</v>
      </c>
      <c r="AC11" s="25">
        <f>'BEB Purchase Scenario'!AD48</f>
        <v>8.1451128956483743</v>
      </c>
      <c r="AD11" s="25">
        <f>'BEB Purchase Scenario'!AE48</f>
        <v>8.7152707983437594</v>
      </c>
      <c r="AE11" s="25">
        <f>'BEB Purchase Scenario'!AF48</f>
        <v>9.3253397542278229</v>
      </c>
      <c r="AF11" s="25">
        <f>'BEB Purchase Scenario'!AG48</f>
        <v>9.9781135370237699</v>
      </c>
    </row>
    <row r="12" spans="1:32">
      <c r="A12" s="40" t="s">
        <v>90</v>
      </c>
      <c r="B12" s="40"/>
      <c r="C12" s="2">
        <f>C6/C11</f>
        <v>129620.0036759209</v>
      </c>
      <c r="D12" s="2">
        <f t="shared" ref="D12:AF12" si="2">D6/D11</f>
        <v>122536.35968247143</v>
      </c>
      <c r="E12" s="2">
        <f t="shared" si="2"/>
        <v>115836.82284599359</v>
      </c>
      <c r="F12" s="2">
        <f t="shared" si="2"/>
        <v>109500.76756777464</v>
      </c>
      <c r="G12" s="2">
        <f t="shared" si="2"/>
        <v>103508.66206843719</v>
      </c>
      <c r="H12" s="2">
        <f t="shared" si="2"/>
        <v>97842.011319964542</v>
      </c>
      <c r="I12" s="2">
        <f t="shared" si="2"/>
        <v>92483.302890005711</v>
      </c>
      <c r="J12" s="2">
        <f t="shared" si="2"/>
        <v>87415.955554432061</v>
      </c>
      <c r="K12" s="2">
        <f t="shared" si="2"/>
        <v>82624.270540907673</v>
      </c>
      <c r="L12" s="2">
        <f t="shared" si="2"/>
        <v>78093.385272734551</v>
      </c>
      <c r="M12" s="2">
        <f t="shared" si="2"/>
        <v>73809.229488443147</v>
      </c>
      <c r="N12" s="2">
        <f t="shared" si="2"/>
        <v>69758.483618539045</v>
      </c>
      <c r="O12" s="2">
        <f t="shared" si="2"/>
        <v>65928.539306488732</v>
      </c>
      <c r="P12" s="2">
        <f t="shared" si="2"/>
        <v>62307.461966449722</v>
      </c>
      <c r="Q12" s="2">
        <f t="shared" si="2"/>
        <v>58883.955275426699</v>
      </c>
      <c r="R12" s="2">
        <f t="shared" si="2"/>
        <v>55647.327502479122</v>
      </c>
      <c r="S12" s="2">
        <f t="shared" si="2"/>
        <v>52587.459582324533</v>
      </c>
      <c r="T12" s="2">
        <f t="shared" si="2"/>
        <v>49694.774845186432</v>
      </c>
      <c r="U12" s="2">
        <f t="shared" si="2"/>
        <v>46960.210319030863</v>
      </c>
      <c r="V12" s="2">
        <f t="shared" si="2"/>
        <v>44375.189524436879</v>
      </c>
      <c r="W12" s="2">
        <f t="shared" si="2"/>
        <v>41931.59668625411</v>
      </c>
      <c r="X12" s="2">
        <f t="shared" si="2"/>
        <v>39621.752289929042</v>
      </c>
      <c r="Y12" s="2">
        <f t="shared" si="2"/>
        <v>37438.389913934465</v>
      </c>
      <c r="Z12" s="2">
        <f t="shared" si="2"/>
        <v>35374.634273124226</v>
      </c>
      <c r="AA12" s="2">
        <f t="shared" si="2"/>
        <v>33423.980411062294</v>
      </c>
      <c r="AB12" s="2">
        <f t="shared" si="2"/>
        <v>31580.27398245065</v>
      </c>
      <c r="AC12" s="2">
        <f t="shared" si="2"/>
        <v>29837.692569709132</v>
      </c>
      <c r="AD12" s="2">
        <f t="shared" si="2"/>
        <v>28190.727980550662</v>
      </c>
      <c r="AE12" s="2">
        <f t="shared" si="2"/>
        <v>26634.169476051138</v>
      </c>
      <c r="AF12" s="2">
        <f t="shared" si="2"/>
        <v>25163.087881243071</v>
      </c>
    </row>
    <row r="15" spans="1:32">
      <c r="A15" t="s">
        <v>91</v>
      </c>
      <c r="B15" t="s">
        <v>92</v>
      </c>
      <c r="C15" s="2">
        <f>SUM(C9:AF9)</f>
        <v>3653011.0069680731</v>
      </c>
    </row>
    <row r="16" spans="1:32">
      <c r="B16" t="s">
        <v>93</v>
      </c>
      <c r="C16" s="2">
        <f>SUM(C12:AF12)</f>
        <v>1928610.4783117559</v>
      </c>
    </row>
    <row r="17" spans="2:3">
      <c r="B17" t="s">
        <v>94</v>
      </c>
      <c r="C17" s="2">
        <f>SUM(C6:AF6)</f>
        <v>6448841.2435844634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AG17"/>
  <sheetViews>
    <sheetView tabSelected="1" workbookViewId="0">
      <selection activeCell="AF1" sqref="C1:AF1048576"/>
    </sheetView>
  </sheetViews>
  <sheetFormatPr defaultRowHeight="15"/>
  <cols>
    <col min="1" max="1" width="21.85546875" customWidth="1"/>
    <col min="2" max="2" width="27.5703125" customWidth="1"/>
    <col min="3" max="32" width="13.28515625" customWidth="1"/>
    <col min="33" max="33" width="12.5703125" customWidth="1"/>
  </cols>
  <sheetData>
    <row r="1" spans="1:33">
      <c r="A1" s="3" t="s">
        <v>95</v>
      </c>
    </row>
    <row r="3" spans="1:33">
      <c r="C3" s="6">
        <v>2028</v>
      </c>
      <c r="D3" s="6">
        <v>2029</v>
      </c>
      <c r="E3" s="6">
        <v>2030</v>
      </c>
      <c r="F3" s="6">
        <v>2031</v>
      </c>
      <c r="G3" s="6">
        <v>2032</v>
      </c>
      <c r="H3" s="6">
        <v>2033</v>
      </c>
      <c r="I3" s="6">
        <v>2034</v>
      </c>
      <c r="J3" s="6">
        <v>2035</v>
      </c>
      <c r="K3" s="6">
        <v>2036</v>
      </c>
      <c r="L3" s="6">
        <v>2037</v>
      </c>
      <c r="M3" s="6">
        <v>2038</v>
      </c>
      <c r="N3" s="6">
        <v>2039</v>
      </c>
      <c r="O3" s="6">
        <v>2040</v>
      </c>
      <c r="P3" s="6">
        <v>2041</v>
      </c>
      <c r="Q3" s="6">
        <v>2042</v>
      </c>
      <c r="R3" s="6">
        <v>2043</v>
      </c>
      <c r="S3" s="6">
        <v>2044</v>
      </c>
      <c r="T3" s="6">
        <v>2045</v>
      </c>
      <c r="U3" s="6">
        <v>2046</v>
      </c>
      <c r="V3" s="6">
        <v>2047</v>
      </c>
      <c r="W3" s="6">
        <v>2048</v>
      </c>
      <c r="X3" s="6">
        <v>2049</v>
      </c>
      <c r="Y3" s="6">
        <v>2050</v>
      </c>
      <c r="Z3" s="6">
        <v>2051</v>
      </c>
      <c r="AA3" s="6">
        <v>2052</v>
      </c>
      <c r="AB3" s="6">
        <v>2053</v>
      </c>
      <c r="AC3" s="6">
        <v>2054</v>
      </c>
      <c r="AD3" s="6">
        <v>2055</v>
      </c>
      <c r="AE3" s="6">
        <v>2056</v>
      </c>
      <c r="AF3" s="6">
        <v>2057</v>
      </c>
    </row>
    <row r="4" spans="1:33">
      <c r="B4" t="s">
        <v>85</v>
      </c>
      <c r="C4" s="53">
        <f>'BEB Purchase Scenario'!D9+'BEB Purchase Scenario'!D14</f>
        <v>576172.80478098884</v>
      </c>
      <c r="D4" s="53">
        <f>'BEB Purchase Scenario'!E9+'BEB Purchase Scenario'!E14</f>
        <v>587696.26087660866</v>
      </c>
      <c r="E4" s="53">
        <f>'BEB Purchase Scenario'!F9+'BEB Purchase Scenario'!F14</f>
        <v>599450.18609414063</v>
      </c>
      <c r="F4" s="53">
        <f>'BEB Purchase Scenario'!G9+'BEB Purchase Scenario'!G14</f>
        <v>611439.18981602357</v>
      </c>
      <c r="G4" s="53">
        <f>'BEB Purchase Scenario'!H9+'BEB Purchase Scenario'!H14</f>
        <v>623667.97361234401</v>
      </c>
      <c r="H4" s="53">
        <f>'BEB Purchase Scenario'!I9+'BEB Purchase Scenario'!I14</f>
        <v>636141.33308459097</v>
      </c>
      <c r="I4" s="53">
        <f>'BEB Purchase Scenario'!J9+'BEB Purchase Scenario'!J14</f>
        <v>648864.15974628262</v>
      </c>
      <c r="J4" s="53">
        <f>'BEB Purchase Scenario'!K9+'BEB Purchase Scenario'!K14</f>
        <v>661841.44294120837</v>
      </c>
      <c r="K4" s="53">
        <f>'BEB Purchase Scenario'!L9+'BEB Purchase Scenario'!L14</f>
        <v>675078.27180003247</v>
      </c>
      <c r="L4" s="53">
        <f>'BEB Purchase Scenario'!M9+'BEB Purchase Scenario'!M14</f>
        <v>688579.83723603317</v>
      </c>
      <c r="M4" s="53">
        <f>'BEB Purchase Scenario'!N9+'BEB Purchase Scenario'!N14</f>
        <v>702351.43398075365</v>
      </c>
      <c r="N4" s="53">
        <f>'BEB Purchase Scenario'!O9+'BEB Purchase Scenario'!O14</f>
        <v>716398.46266036888</v>
      </c>
      <c r="O4" s="53">
        <f>'BEB Purchase Scenario'!P9+'BEB Purchase Scenario'!P14</f>
        <v>730726.43191357632</v>
      </c>
      <c r="P4" s="53">
        <f>'BEB Purchase Scenario'!Q9+'BEB Purchase Scenario'!Q14</f>
        <v>745340.9605518477</v>
      </c>
      <c r="Q4" s="53">
        <f>'BEB Purchase Scenario'!R9+'BEB Purchase Scenario'!R14</f>
        <v>760247.77976288472</v>
      </c>
      <c r="R4" s="53">
        <f>'BEB Purchase Scenario'!S9+'BEB Purchase Scenario'!S14</f>
        <v>2815452.7353581423</v>
      </c>
      <c r="S4" s="53">
        <f>'BEB Purchase Scenario'!T9+'BEB Purchase Scenario'!T14</f>
        <v>790961.79006530531</v>
      </c>
      <c r="T4" s="53">
        <f>'BEB Purchase Scenario'!U9+'BEB Purchase Scenario'!U14</f>
        <v>806781.0258666114</v>
      </c>
      <c r="U4" s="53">
        <f>'BEB Purchase Scenario'!V9+'BEB Purchase Scenario'!V14</f>
        <v>822916.6463839435</v>
      </c>
      <c r="V4" s="53">
        <f>'BEB Purchase Scenario'!W9+'BEB Purchase Scenario'!W14</f>
        <v>839374.97931162233</v>
      </c>
      <c r="W4" s="53">
        <f>'BEB Purchase Scenario'!X9+'BEB Purchase Scenario'!X14</f>
        <v>856162.4788978548</v>
      </c>
      <c r="X4" s="53">
        <f>'BEB Purchase Scenario'!Y9+'BEB Purchase Scenario'!Y14</f>
        <v>873285.72847581201</v>
      </c>
      <c r="Y4" s="53">
        <f>'BEB Purchase Scenario'!Z9+'BEB Purchase Scenario'!Z14</f>
        <v>2930751.4430453284</v>
      </c>
      <c r="Z4" s="53">
        <f>'BEB Purchase Scenario'!AA9+'BEB Purchase Scenario'!AA14</f>
        <v>908566.47190623486</v>
      </c>
      <c r="AA4" s="53">
        <f>'BEB Purchase Scenario'!AB9+'BEB Purchase Scenario'!AB14</f>
        <v>926737.80134435941</v>
      </c>
      <c r="AB4" s="53">
        <f>'BEB Purchase Scenario'!AC9+'BEB Purchase Scenario'!AC14</f>
        <v>945272.55737124663</v>
      </c>
      <c r="AC4" s="53">
        <f>'BEB Purchase Scenario'!AD9+'BEB Purchase Scenario'!AD14</f>
        <v>964178.00851867138</v>
      </c>
      <c r="AD4" s="53">
        <f>'BEB Purchase Scenario'!AE9+'BEB Purchase Scenario'!AE14</f>
        <v>983461.56868904503</v>
      </c>
      <c r="AE4" s="53">
        <f>'BEB Purchase Scenario'!AF9+'BEB Purchase Scenario'!AF14</f>
        <v>1003130.800062826</v>
      </c>
      <c r="AF4" s="53">
        <f>'BEB Purchase Scenario'!AG9+'BEB Purchase Scenario'!AG14</f>
        <v>1023193.4160640824</v>
      </c>
    </row>
    <row r="5" spans="1:33">
      <c r="B5" t="s">
        <v>86</v>
      </c>
      <c r="C5" s="102">
        <f>'No Purchase Scenario'!D30+'No Purchase Scenario'!D35</f>
        <v>1325642.4079140679</v>
      </c>
      <c r="D5" s="102">
        <f>'No Purchase Scenario'!E30+'No Purchase Scenario'!E35</f>
        <v>1431693.8005471935</v>
      </c>
      <c r="E5" s="102">
        <f>'No Purchase Scenario'!F30+'No Purchase Scenario'!F35</f>
        <v>1546229.3045909691</v>
      </c>
      <c r="F5" s="102">
        <f>'No Purchase Scenario'!G30+'No Purchase Scenario'!G35</f>
        <v>1669927.6489582467</v>
      </c>
      <c r="G5" s="102">
        <f>'No Purchase Scenario'!H30+'No Purchase Scenario'!H35</f>
        <v>1803521.8608749064</v>
      </c>
      <c r="H5" s="102">
        <f>'No Purchase Scenario'!I30+'No Purchase Scenario'!I35</f>
        <v>1947803.609744899</v>
      </c>
      <c r="I5" s="102">
        <f>'No Purchase Scenario'!J30+'No Purchase Scenario'!J35</f>
        <v>2103627.8985244911</v>
      </c>
      <c r="J5" s="102">
        <f>'No Purchase Scenario'!K30+'No Purchase Scenario'!K35</f>
        <v>2271918.1304064505</v>
      </c>
      <c r="K5" s="102">
        <f>'No Purchase Scenario'!L30+'No Purchase Scenario'!L35</f>
        <v>3114673.4331705212</v>
      </c>
      <c r="L5" s="102">
        <f>'No Purchase Scenario'!M30+'No Purchase Scenario'!M35</f>
        <v>3426140.776487574</v>
      </c>
      <c r="M5" s="102">
        <f>'No Purchase Scenario'!N30+'No Purchase Scenario'!N35</f>
        <v>3768754.8541363315</v>
      </c>
      <c r="N5" s="102">
        <f>'No Purchase Scenario'!O30+'No Purchase Scenario'!O35</f>
        <v>4145630.3395499648</v>
      </c>
      <c r="O5" s="102">
        <f>'No Purchase Scenario'!P30+'No Purchase Scenario'!P35</f>
        <v>4560193.3735049609</v>
      </c>
      <c r="P5" s="102">
        <f>'No Purchase Scenario'!Q30+'No Purchase Scenario'!Q35</f>
        <v>5016212.7108554579</v>
      </c>
      <c r="Q5" s="102">
        <f>'No Purchase Scenario'!R30+'No Purchase Scenario'!R35</f>
        <v>5517833.9819410052</v>
      </c>
      <c r="R5" s="102">
        <f>'No Purchase Scenario'!S30+'No Purchase Scenario'!S35</f>
        <v>18078204.789681319</v>
      </c>
      <c r="S5" s="102">
        <f>'No Purchase Scenario'!T30+'No Purchase Scenario'!T35</f>
        <v>6676579.1181486165</v>
      </c>
      <c r="T5" s="102">
        <f>'No Purchase Scenario'!U30+'No Purchase Scenario'!U35</f>
        <v>7344237.0299634784</v>
      </c>
      <c r="U5" s="102">
        <f>'No Purchase Scenario'!V30+'No Purchase Scenario'!V35</f>
        <v>8078660.7329598274</v>
      </c>
      <c r="V5" s="102">
        <f>'No Purchase Scenario'!W30+'No Purchase Scenario'!W35</f>
        <v>8886526.8062558081</v>
      </c>
      <c r="W5" s="102">
        <f>'No Purchase Scenario'!X30+'No Purchase Scenario'!X35</f>
        <v>9775179.4868813921</v>
      </c>
      <c r="X5" s="102">
        <f>'No Purchase Scenario'!Y30+'No Purchase Scenario'!Y35</f>
        <v>10752697.435569532</v>
      </c>
      <c r="Y5" s="102">
        <f>'No Purchase Scenario'!Z30+'No Purchase Scenario'!Z35</f>
        <v>35229306.810953908</v>
      </c>
      <c r="Z5" s="102">
        <f>'No Purchase Scenario'!AA30+'No Purchase Scenario'!AA35</f>
        <v>13010763.897039134</v>
      </c>
      <c r="AA5" s="102">
        <f>'No Purchase Scenario'!AB30+'No Purchase Scenario'!AB35</f>
        <v>14311840.286743049</v>
      </c>
      <c r="AB5" s="102">
        <f>'No Purchase Scenario'!AC30+'No Purchase Scenario'!AC35</f>
        <v>15743024.315417357</v>
      </c>
      <c r="AC5" s="102">
        <f>'No Purchase Scenario'!AD30+'No Purchase Scenario'!AD35</f>
        <v>17317326.746959094</v>
      </c>
      <c r="AD5" s="102">
        <f>'No Purchase Scenario'!AE30+'No Purchase Scenario'!AE35</f>
        <v>19049059.421655003</v>
      </c>
      <c r="AE5" s="102">
        <f>'No Purchase Scenario'!AF30+'No Purchase Scenario'!AF35</f>
        <v>20953965.363820504</v>
      </c>
      <c r="AF5" s="102">
        <f>'No Purchase Scenario'!AG30+'No Purchase Scenario'!AG35</f>
        <v>23049361.900202557</v>
      </c>
    </row>
    <row r="6" spans="1:33">
      <c r="B6" s="3" t="s">
        <v>96</v>
      </c>
      <c r="C6" s="2">
        <f>C5-C4</f>
        <v>749469.60313307901</v>
      </c>
      <c r="D6" s="2">
        <f t="shared" ref="D6:AF6" si="0">D5-D4</f>
        <v>843997.53967058484</v>
      </c>
      <c r="E6" s="2">
        <f t="shared" si="0"/>
        <v>946779.11849682848</v>
      </c>
      <c r="F6" s="2">
        <f t="shared" si="0"/>
        <v>1058488.459142223</v>
      </c>
      <c r="G6" s="2">
        <f t="shared" si="0"/>
        <v>1179853.8872625623</v>
      </c>
      <c r="H6" s="2">
        <f t="shared" si="0"/>
        <v>1311662.276660308</v>
      </c>
      <c r="I6" s="2">
        <f t="shared" si="0"/>
        <v>1454763.7387782084</v>
      </c>
      <c r="J6" s="2">
        <f t="shared" si="0"/>
        <v>1610076.6874652421</v>
      </c>
      <c r="K6" s="2">
        <f t="shared" si="0"/>
        <v>2439595.1613704888</v>
      </c>
      <c r="L6" s="2">
        <f t="shared" si="0"/>
        <v>2737560.9392515407</v>
      </c>
      <c r="M6" s="2">
        <f t="shared" si="0"/>
        <v>3066403.4201555778</v>
      </c>
      <c r="N6" s="2">
        <f t="shared" si="0"/>
        <v>3429231.8768895958</v>
      </c>
      <c r="O6" s="2">
        <f t="shared" si="0"/>
        <v>3829466.9415913848</v>
      </c>
      <c r="P6" s="2">
        <f t="shared" si="0"/>
        <v>4270871.7503036102</v>
      </c>
      <c r="Q6" s="2">
        <f t="shared" si="0"/>
        <v>4757586.2021781206</v>
      </c>
      <c r="R6" s="2">
        <f t="shared" si="0"/>
        <v>15262752.054323178</v>
      </c>
      <c r="S6" s="2">
        <f t="shared" si="0"/>
        <v>5885617.3280833112</v>
      </c>
      <c r="T6" s="2">
        <f t="shared" si="0"/>
        <v>6537456.0040968675</v>
      </c>
      <c r="U6" s="2">
        <f t="shared" si="0"/>
        <v>7255744.0865758844</v>
      </c>
      <c r="V6" s="2">
        <f t="shared" si="0"/>
        <v>8047151.8269441854</v>
      </c>
      <c r="W6" s="2">
        <f t="shared" si="0"/>
        <v>8919017.0079835374</v>
      </c>
      <c r="X6" s="2">
        <f t="shared" si="0"/>
        <v>9879411.7070937194</v>
      </c>
      <c r="Y6" s="2">
        <f t="shared" si="0"/>
        <v>32298555.367908578</v>
      </c>
      <c r="Z6" s="2">
        <f t="shared" si="0"/>
        <v>12102197.425132899</v>
      </c>
      <c r="AA6" s="2">
        <f t="shared" si="0"/>
        <v>13385102.485398689</v>
      </c>
      <c r="AB6" s="2">
        <f t="shared" si="0"/>
        <v>14797751.758046109</v>
      </c>
      <c r="AC6" s="2">
        <f t="shared" si="0"/>
        <v>16353148.738440422</v>
      </c>
      <c r="AD6" s="2">
        <f t="shared" si="0"/>
        <v>18065597.852965958</v>
      </c>
      <c r="AE6" s="2">
        <f t="shared" si="0"/>
        <v>19950834.563757677</v>
      </c>
      <c r="AF6" s="2">
        <f t="shared" si="0"/>
        <v>22026168.484138474</v>
      </c>
      <c r="AG6" s="2"/>
    </row>
    <row r="8" spans="1:33">
      <c r="A8" s="38" t="s">
        <v>88</v>
      </c>
      <c r="B8" s="41">
        <v>0.03</v>
      </c>
      <c r="C8" s="25">
        <f>'BEB Purchase Scenario'!D45</f>
        <v>1.1592740742999998</v>
      </c>
      <c r="D8" s="25">
        <f>'BEB Purchase Scenario'!E45</f>
        <v>1.1940522965289999</v>
      </c>
      <c r="E8" s="25">
        <f>'BEB Purchase Scenario'!F45</f>
        <v>1.22987386542487</v>
      </c>
      <c r="F8" s="25">
        <f>'BEB Purchase Scenario'!G45</f>
        <v>1.2667700813876159</v>
      </c>
      <c r="G8" s="25">
        <f>'BEB Purchase Scenario'!H45</f>
        <v>1.3047731838292445</v>
      </c>
      <c r="H8" s="25">
        <f>'BEB Purchase Scenario'!I45</f>
        <v>1.3439163793441218</v>
      </c>
      <c r="I8" s="25">
        <f>'BEB Purchase Scenario'!J45</f>
        <v>1.3842338707244455</v>
      </c>
      <c r="J8" s="25">
        <f>'BEB Purchase Scenario'!K45</f>
        <v>1.4257608868461786</v>
      </c>
      <c r="K8" s="25">
        <f>'BEB Purchase Scenario'!L45</f>
        <v>1.4685337134515639</v>
      </c>
      <c r="L8" s="25">
        <f>'BEB Purchase Scenario'!M45</f>
        <v>1.512589724855111</v>
      </c>
      <c r="M8" s="25">
        <f>'BEB Purchase Scenario'!N45</f>
        <v>1.5579674166007644</v>
      </c>
      <c r="N8" s="25">
        <f>'BEB Purchase Scenario'!O45</f>
        <v>1.6047064390987871</v>
      </c>
      <c r="O8" s="25">
        <f>'BEB Purchase Scenario'!P45</f>
        <v>1.6528476322717507</v>
      </c>
      <c r="P8" s="25">
        <f>'BEB Purchase Scenario'!Q45</f>
        <v>1.7024330612399032</v>
      </c>
      <c r="Q8" s="25">
        <f>'BEB Purchase Scenario'!R45</f>
        <v>1.7535060530771003</v>
      </c>
      <c r="R8" s="25">
        <f>'BEB Purchase Scenario'!S45</f>
        <v>1.8061112346694133</v>
      </c>
      <c r="S8" s="25">
        <f>'BEB Purchase Scenario'!T45</f>
        <v>1.8602945717094954</v>
      </c>
      <c r="T8" s="25">
        <f>'BEB Purchase Scenario'!U45</f>
        <v>1.9161034088607805</v>
      </c>
      <c r="U8" s="25">
        <f>'BEB Purchase Scenario'!V45</f>
        <v>1.973586511126604</v>
      </c>
      <c r="V8" s="25">
        <f>'BEB Purchase Scenario'!W45</f>
        <v>2.0327941064604018</v>
      </c>
      <c r="W8" s="25">
        <f>'BEB Purchase Scenario'!X45</f>
        <v>2.0937779296542138</v>
      </c>
      <c r="X8" s="25">
        <f>'BEB Purchase Scenario'!Y45</f>
        <v>2.1565912675438406</v>
      </c>
      <c r="Y8" s="25">
        <f>'BEB Purchase Scenario'!Z45</f>
        <v>2.2212890055701555</v>
      </c>
      <c r="Z8" s="25">
        <f>'BEB Purchase Scenario'!AA45</f>
        <v>2.2879276757372602</v>
      </c>
      <c r="AA8" s="25">
        <f>'BEB Purchase Scenario'!AB45</f>
        <v>2.3565655060093778</v>
      </c>
      <c r="AB8" s="25">
        <f>'BEB Purchase Scenario'!AC45</f>
        <v>2.4272624711896591</v>
      </c>
      <c r="AC8" s="25">
        <f>'BEB Purchase Scenario'!AD45</f>
        <v>2.5000803453253493</v>
      </c>
      <c r="AD8" s="25">
        <f>'BEB Purchase Scenario'!AE45</f>
        <v>2.5750827556851092</v>
      </c>
      <c r="AE8" s="25">
        <f>'BEB Purchase Scenario'!AF45</f>
        <v>2.6523352383556626</v>
      </c>
      <c r="AF8" s="25">
        <f>'BEB Purchase Scenario'!AG45</f>
        <v>2.7319052955063321</v>
      </c>
    </row>
    <row r="9" spans="1:33">
      <c r="A9" s="38" t="s">
        <v>89</v>
      </c>
      <c r="B9" s="43"/>
      <c r="C9" s="2">
        <f>C6/C8</f>
        <v>646499.06329150719</v>
      </c>
      <c r="D9" s="2">
        <f t="shared" ref="D9:AF9" si="1">D6/D8</f>
        <v>706834.65215385286</v>
      </c>
      <c r="E9" s="2">
        <f t="shared" si="1"/>
        <v>769818.06436691445</v>
      </c>
      <c r="F9" s="2">
        <f t="shared" si="1"/>
        <v>835580.5640615999</v>
      </c>
      <c r="G9" s="2">
        <f t="shared" si="1"/>
        <v>904259.76091869897</v>
      </c>
      <c r="H9" s="2">
        <f t="shared" si="1"/>
        <v>975999.91846252</v>
      </c>
      <c r="I9" s="2">
        <f t="shared" si="1"/>
        <v>1050952.2773177417</v>
      </c>
      <c r="J9" s="2">
        <f t="shared" si="1"/>
        <v>1129275.3941558707</v>
      </c>
      <c r="K9" s="2">
        <f t="shared" si="1"/>
        <v>1661245.5941761076</v>
      </c>
      <c r="L9" s="2">
        <f t="shared" si="1"/>
        <v>1809850.2814527371</v>
      </c>
      <c r="M9" s="2">
        <f t="shared" si="1"/>
        <v>1968207.6707650146</v>
      </c>
      <c r="N9" s="2">
        <f t="shared" si="1"/>
        <v>2136983.9325973373</v>
      </c>
      <c r="O9" s="2">
        <f t="shared" si="1"/>
        <v>2316890.4784816657</v>
      </c>
      <c r="P9" s="2">
        <f t="shared" si="1"/>
        <v>2508687.0359490556</v>
      </c>
      <c r="Q9" s="2">
        <f t="shared" si="1"/>
        <v>2713184.9324553963</v>
      </c>
      <c r="R9" s="2">
        <f t="shared" si="1"/>
        <v>8450615.7546364181</v>
      </c>
      <c r="S9" s="2">
        <f t="shared" si="1"/>
        <v>3163809.3329890189</v>
      </c>
      <c r="T9" s="2">
        <f t="shared" si="1"/>
        <v>3411849.2633879883</v>
      </c>
      <c r="U9" s="2">
        <f t="shared" si="1"/>
        <v>3676425.6573855528</v>
      </c>
      <c r="V9" s="2">
        <f t="shared" si="1"/>
        <v>3958665.4651199626</v>
      </c>
      <c r="W9" s="2">
        <f t="shared" si="1"/>
        <v>4259772.1953524016</v>
      </c>
      <c r="X9" s="2">
        <f t="shared" si="1"/>
        <v>4581031.1187735926</v>
      </c>
      <c r="Y9" s="2">
        <f t="shared" si="1"/>
        <v>14540456.143669723</v>
      </c>
      <c r="Z9" s="2">
        <f t="shared" si="1"/>
        <v>5289589.1568045719</v>
      </c>
      <c r="AA9" s="2">
        <f t="shared" si="1"/>
        <v>5679919.5487101488</v>
      </c>
      <c r="AB9" s="2">
        <f t="shared" si="1"/>
        <v>6096477.7949182307</v>
      </c>
      <c r="AC9" s="2">
        <f t="shared" si="1"/>
        <v>6541049.2782832133</v>
      </c>
      <c r="AD9" s="2">
        <f t="shared" si="1"/>
        <v>7015540.6901319362</v>
      </c>
      <c r="AE9" s="2">
        <f t="shared" si="1"/>
        <v>7521988.2748028347</v>
      </c>
      <c r="AF9" s="2">
        <f t="shared" si="1"/>
        <v>8062566.6344909435</v>
      </c>
    </row>
    <row r="10" spans="1:33">
      <c r="A10" s="40"/>
      <c r="B10" s="40"/>
    </row>
    <row r="11" spans="1:33">
      <c r="A11" s="40" t="s">
        <v>88</v>
      </c>
      <c r="B11" s="41">
        <v>7.0000000000000007E-2</v>
      </c>
      <c r="C11" s="25">
        <f>'BEB Purchase Scenario'!D48</f>
        <v>1.4025517307000002</v>
      </c>
      <c r="D11" s="25">
        <f>'BEB Purchase Scenario'!E48</f>
        <v>1.5007303518490001</v>
      </c>
      <c r="E11" s="25">
        <f>'BEB Purchase Scenario'!F48</f>
        <v>1.6057814764784302</v>
      </c>
      <c r="F11" s="25">
        <f>'BEB Purchase Scenario'!G48</f>
        <v>1.7181861798319202</v>
      </c>
      <c r="G11" s="25">
        <f>'BEB Purchase Scenario'!H48</f>
        <v>1.8384592124201549</v>
      </c>
      <c r="H11" s="25">
        <f>'BEB Purchase Scenario'!I48</f>
        <v>1.9671513572895656</v>
      </c>
      <c r="I11" s="25">
        <f>'BEB Purchase Scenario'!J48</f>
        <v>2.1048519522998355</v>
      </c>
      <c r="J11" s="25">
        <f>'BEB Purchase Scenario'!K48</f>
        <v>2.2521915889608235</v>
      </c>
      <c r="K11" s="25">
        <f>'BEB Purchase Scenario'!L48</f>
        <v>2.4098450001880813</v>
      </c>
      <c r="L11" s="25">
        <f>'BEB Purchase Scenario'!M48</f>
        <v>2.5785341502012469</v>
      </c>
      <c r="M11" s="25">
        <f>'BEB Purchase Scenario'!N48</f>
        <v>2.7590315407153345</v>
      </c>
      <c r="N11" s="25">
        <f>'BEB Purchase Scenario'!O48</f>
        <v>2.9521637485654075</v>
      </c>
      <c r="O11" s="25">
        <f>'BEB Purchase Scenario'!P48</f>
        <v>3.1588152109649861</v>
      </c>
      <c r="P11" s="25">
        <f>'BEB Purchase Scenario'!Q48</f>
        <v>3.3799322757325352</v>
      </c>
      <c r="Q11" s="25">
        <f>'BEB Purchase Scenario'!R48</f>
        <v>3.6165275350338129</v>
      </c>
      <c r="R11" s="25">
        <f>'BEB Purchase Scenario'!S48</f>
        <v>3.8696844624861795</v>
      </c>
      <c r="S11" s="25">
        <f>'BEB Purchase Scenario'!T48</f>
        <v>4.1405623748602123</v>
      </c>
      <c r="T11" s="25">
        <f>'BEB Purchase Scenario'!U48</f>
        <v>4.4304017411004271</v>
      </c>
      <c r="U11" s="25">
        <f>'BEB Purchase Scenario'!V48</f>
        <v>4.740529862977457</v>
      </c>
      <c r="V11" s="25">
        <f>'BEB Purchase Scenario'!W48</f>
        <v>5.0723669533858793</v>
      </c>
      <c r="W11" s="25">
        <f>'BEB Purchase Scenario'!X48</f>
        <v>5.4274326401228912</v>
      </c>
      <c r="X11" s="25">
        <f>'BEB Purchase Scenario'!Y48</f>
        <v>5.807352924931493</v>
      </c>
      <c r="Y11" s="25">
        <f>'BEB Purchase Scenario'!Z48</f>
        <v>6.2138676296766988</v>
      </c>
      <c r="Z11" s="25">
        <f>'BEB Purchase Scenario'!AA48</f>
        <v>6.6488383637540664</v>
      </c>
      <c r="AA11" s="25">
        <f>'BEB Purchase Scenario'!AB48</f>
        <v>7.1142570492168513</v>
      </c>
      <c r="AB11" s="25">
        <f>'BEB Purchase Scenario'!AC48</f>
        <v>7.6122550426620306</v>
      </c>
      <c r="AC11" s="25">
        <f>'BEB Purchase Scenario'!AD48</f>
        <v>8.1451128956483743</v>
      </c>
      <c r="AD11" s="25">
        <f>'BEB Purchase Scenario'!AE48</f>
        <v>8.7152707983437594</v>
      </c>
      <c r="AE11" s="25">
        <f>'BEB Purchase Scenario'!AF48</f>
        <v>9.3253397542278229</v>
      </c>
      <c r="AF11" s="25">
        <f>'BEB Purchase Scenario'!AG48</f>
        <v>9.9781135370237699</v>
      </c>
    </row>
    <row r="12" spans="1:33">
      <c r="A12" s="40" t="s">
        <v>90</v>
      </c>
      <c r="B12" s="40"/>
      <c r="C12" s="2">
        <f>C6/C11</f>
        <v>534361.46897699521</v>
      </c>
      <c r="D12" s="2">
        <f t="shared" ref="D12:AF12" si="2">D6/D11</f>
        <v>562391.19747976272</v>
      </c>
      <c r="E12" s="2">
        <f t="shared" si="2"/>
        <v>589606.45166562067</v>
      </c>
      <c r="F12" s="2">
        <f t="shared" si="2"/>
        <v>616049.92029779253</v>
      </c>
      <c r="G12" s="2">
        <f t="shared" si="2"/>
        <v>641762.34060118091</v>
      </c>
      <c r="H12" s="2">
        <f t="shared" si="2"/>
        <v>666782.58986007993</v>
      </c>
      <c r="I12" s="2">
        <f t="shared" si="2"/>
        <v>691147.77273939969</v>
      </c>
      <c r="J12" s="2">
        <f t="shared" si="2"/>
        <v>714893.30452927516</v>
      </c>
      <c r="K12" s="2">
        <f t="shared" si="2"/>
        <v>1012345.2592096527</v>
      </c>
      <c r="L12" s="2">
        <f t="shared" si="2"/>
        <v>1061673.330577329</v>
      </c>
      <c r="M12" s="2">
        <f t="shared" si="2"/>
        <v>1111405.7142531073</v>
      </c>
      <c r="N12" s="2">
        <f t="shared" si="2"/>
        <v>1161599.4805694697</v>
      </c>
      <c r="O12" s="2">
        <f t="shared" si="2"/>
        <v>1212311.1628367528</v>
      </c>
      <c r="P12" s="2">
        <f t="shared" si="2"/>
        <v>1263596.8421521052</v>
      </c>
      <c r="Q12" s="2">
        <f t="shared" si="2"/>
        <v>1315512.2299196429</v>
      </c>
      <c r="R12" s="2">
        <f t="shared" si="2"/>
        <v>3944185.1660735216</v>
      </c>
      <c r="S12" s="2">
        <f t="shared" si="2"/>
        <v>1421453.6082872108</v>
      </c>
      <c r="T12" s="2">
        <f t="shared" si="2"/>
        <v>1475589.8869056259</v>
      </c>
      <c r="U12" s="2">
        <f t="shared" si="2"/>
        <v>1530576.6014136358</v>
      </c>
      <c r="V12" s="2">
        <f t="shared" si="2"/>
        <v>1586468.7828968277</v>
      </c>
      <c r="W12" s="2">
        <f t="shared" si="2"/>
        <v>1643321.5480278328</v>
      </c>
      <c r="X12" s="2">
        <f t="shared" si="2"/>
        <v>1701190.169565984</v>
      </c>
      <c r="Y12" s="2">
        <f t="shared" si="2"/>
        <v>5197818.3786301604</v>
      </c>
      <c r="Z12" s="2">
        <f t="shared" si="2"/>
        <v>1820197.2680081453</v>
      </c>
      <c r="AA12" s="2">
        <f t="shared" si="2"/>
        <v>1881447.6891683501</v>
      </c>
      <c r="AB12" s="2">
        <f t="shared" si="2"/>
        <v>1943937.9888237806</v>
      </c>
      <c r="AC12" s="2">
        <f t="shared" si="2"/>
        <v>2007725.2394104067</v>
      </c>
      <c r="AD12" s="2">
        <f t="shared" si="2"/>
        <v>2072867.0710265394</v>
      </c>
      <c r="AE12" s="2">
        <f t="shared" si="2"/>
        <v>2139421.7357831472</v>
      </c>
      <c r="AF12" s="2">
        <f t="shared" si="2"/>
        <v>2207448.1716819936</v>
      </c>
    </row>
    <row r="15" spans="1:33">
      <c r="A15" t="s">
        <v>91</v>
      </c>
      <c r="B15" t="s">
        <v>92</v>
      </c>
      <c r="C15" s="2">
        <f>SUM(C9:AF9)</f>
        <v>114384025.93006255</v>
      </c>
    </row>
    <row r="16" spans="1:33">
      <c r="B16" t="s">
        <v>93</v>
      </c>
      <c r="C16" s="2">
        <f>SUM(C12:AF12)</f>
        <v>45729088.371371329</v>
      </c>
    </row>
    <row r="17" spans="2:3">
      <c r="B17" t="s">
        <v>94</v>
      </c>
      <c r="C17" s="2">
        <f>SUM(C6:AF6)</f>
        <v>244452314.29323888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G91"/>
  <sheetViews>
    <sheetView topLeftCell="B2" workbookViewId="0">
      <selection activeCell="AF3" sqref="C3:AF3"/>
    </sheetView>
  </sheetViews>
  <sheetFormatPr defaultRowHeight="15"/>
  <cols>
    <col min="1" max="1" width="25.28515625" customWidth="1"/>
    <col min="2" max="2" width="43.140625" customWidth="1"/>
    <col min="3" max="3" width="13.42578125" customWidth="1"/>
    <col min="4" max="4" width="10.5703125" customWidth="1"/>
    <col min="5" max="5" width="10.7109375" customWidth="1"/>
    <col min="6" max="6" width="25.28515625" customWidth="1"/>
    <col min="7" max="7" width="10.7109375" customWidth="1"/>
    <col min="8" max="8" width="11.85546875" customWidth="1"/>
    <col min="9" max="9" width="18.42578125" customWidth="1"/>
  </cols>
  <sheetData>
    <row r="1" spans="1:33">
      <c r="A1" s="90" t="s">
        <v>97</v>
      </c>
      <c r="B1" s="92"/>
    </row>
    <row r="3" spans="1:33">
      <c r="C3" s="6">
        <v>2028</v>
      </c>
      <c r="D3" s="6">
        <v>2029</v>
      </c>
      <c r="E3" s="6">
        <v>2030</v>
      </c>
      <c r="F3" s="6">
        <v>2031</v>
      </c>
      <c r="G3" s="6">
        <v>2032</v>
      </c>
      <c r="H3" s="6">
        <v>2033</v>
      </c>
      <c r="I3" s="6">
        <v>2034</v>
      </c>
      <c r="J3" s="6">
        <v>2035</v>
      </c>
      <c r="K3" s="6">
        <v>2036</v>
      </c>
      <c r="L3" s="6">
        <v>2037</v>
      </c>
      <c r="M3" s="6">
        <v>2038</v>
      </c>
      <c r="N3" s="6">
        <v>2039</v>
      </c>
      <c r="O3" s="6">
        <v>2040</v>
      </c>
      <c r="P3" s="6">
        <v>2041</v>
      </c>
      <c r="Q3" s="6">
        <v>2042</v>
      </c>
      <c r="R3" s="6">
        <v>2043</v>
      </c>
      <c r="S3" s="6">
        <v>2044</v>
      </c>
      <c r="T3" s="6">
        <v>2045</v>
      </c>
      <c r="U3" s="6">
        <v>2046</v>
      </c>
      <c r="V3" s="6">
        <v>2047</v>
      </c>
      <c r="W3" s="6">
        <v>2048</v>
      </c>
      <c r="X3" s="6">
        <v>2049</v>
      </c>
      <c r="Y3" s="6">
        <v>2050</v>
      </c>
      <c r="Z3" s="6">
        <v>2051</v>
      </c>
      <c r="AA3" s="6">
        <v>2052</v>
      </c>
      <c r="AB3" s="6">
        <v>2053</v>
      </c>
      <c r="AC3" s="6">
        <v>2054</v>
      </c>
      <c r="AD3" s="6">
        <v>2055</v>
      </c>
      <c r="AE3" s="6">
        <v>2056</v>
      </c>
      <c r="AF3" s="6">
        <v>2057</v>
      </c>
      <c r="AG3" s="6"/>
    </row>
    <row r="4" spans="1:33">
      <c r="B4" t="s">
        <v>85</v>
      </c>
      <c r="C4" s="53">
        <f>'BEB Purchase Scenario'!D27</f>
        <v>10014.22308692657</v>
      </c>
      <c r="D4" s="53">
        <f>'BEB Purchase Scenario'!E27</f>
        <v>10230.530305604185</v>
      </c>
      <c r="E4" s="53">
        <f>'BEB Purchase Scenario'!F27</f>
        <v>10451.509760205236</v>
      </c>
      <c r="F4" s="53">
        <f>'BEB Purchase Scenario'!G27</f>
        <v>10677.26237102567</v>
      </c>
      <c r="G4" s="53">
        <f>'BEB Purchase Scenario'!H27</f>
        <v>10907.891238239825</v>
      </c>
      <c r="H4" s="53">
        <f>'BEB Purchase Scenario'!I27</f>
        <v>11143.501688985805</v>
      </c>
      <c r="I4" s="53">
        <f>'BEB Purchase Scenario'!J27</f>
        <v>11384.2013254679</v>
      </c>
      <c r="J4" s="53">
        <f>'BEB Purchase Scenario'!K27</f>
        <v>11630.100074098007</v>
      </c>
      <c r="K4" s="53">
        <f>'BEB Purchase Scenario'!L27</f>
        <v>11881.310235698524</v>
      </c>
      <c r="L4" s="53">
        <f>'BEB Purchase Scenario'!M27</f>
        <v>12137.946536789612</v>
      </c>
      <c r="M4" s="53">
        <f>'BEB Purchase Scenario'!N27</f>
        <v>12400.126181984271</v>
      </c>
      <c r="N4" s="53">
        <f>'BEB Purchase Scenario'!O27</f>
        <v>12667.968907515133</v>
      </c>
      <c r="O4" s="53">
        <f>'BEB Purchase Scenario'!P27</f>
        <v>12941.597035917461</v>
      </c>
      <c r="P4" s="53">
        <f>'BEB Purchase Scenario'!Q27</f>
        <v>13221.135531893278</v>
      </c>
      <c r="Q4" s="53">
        <f>'BEB Purchase Scenario'!R27</f>
        <v>13506.712059382173</v>
      </c>
      <c r="R4" s="53">
        <f>'BEB Purchase Scenario'!S27</f>
        <v>13798.457039864828</v>
      </c>
      <c r="S4" s="53">
        <f>'BEB Purchase Scenario'!T27</f>
        <v>14096.50371192591</v>
      </c>
      <c r="T4" s="53">
        <f>'BEB Purchase Scenario'!U27</f>
        <v>14400.988192103508</v>
      </c>
      <c r="U4" s="53">
        <f>'BEB Purchase Scenario'!V27</f>
        <v>14712.049537052946</v>
      </c>
      <c r="V4" s="53">
        <f>'BEB Purchase Scenario'!W27</f>
        <v>15029.829807053295</v>
      </c>
      <c r="W4" s="53">
        <f>'BEB Purchase Scenario'!X27</f>
        <v>15354.474130885643</v>
      </c>
      <c r="X4" s="53">
        <f>'BEB Purchase Scenario'!Y27</f>
        <v>15686.130772112776</v>
      </c>
      <c r="Y4" s="53">
        <f>'BEB Purchase Scenario'!Z27</f>
        <v>16024.951196790411</v>
      </c>
      <c r="Z4" s="53">
        <f>'BEB Purchase Scenario'!AA27</f>
        <v>16371.090142641086</v>
      </c>
      <c r="AA4" s="53">
        <f>'BEB Purchase Scenario'!AB27</f>
        <v>16724.705689722134</v>
      </c>
      <c r="AB4" s="53">
        <f>'BEB Purchase Scenario'!AC27</f>
        <v>17085.959332620132</v>
      </c>
      <c r="AC4" s="53">
        <f>'BEB Purchase Scenario'!AD27</f>
        <v>17455.016054204731</v>
      </c>
      <c r="AD4" s="53">
        <f>'BEB Purchase Scenario'!AE27</f>
        <v>17832.044400975552</v>
      </c>
      <c r="AE4" s="53">
        <f>'BEB Purchase Scenario'!AF27</f>
        <v>18217.216560036628</v>
      </c>
      <c r="AF4" s="53">
        <f>'BEB Purchase Scenario'!AG27</f>
        <v>18610.708437733418</v>
      </c>
    </row>
    <row r="5" spans="1:33">
      <c r="B5" s="47" t="s">
        <v>98</v>
      </c>
      <c r="C5" s="53">
        <f>'No Purchase Scenario'!D43</f>
        <v>58972.720267959798</v>
      </c>
      <c r="D5" s="53">
        <f>'No Purchase Scenario'!E43</f>
        <v>60246.531025747725</v>
      </c>
      <c r="E5" s="53">
        <f>'No Purchase Scenario'!F43</f>
        <v>61547.85609590388</v>
      </c>
      <c r="F5" s="53">
        <f>'No Purchase Scenario'!G43</f>
        <v>62877.289787575421</v>
      </c>
      <c r="G5" s="53">
        <f>'No Purchase Scenario'!H43</f>
        <v>64235.439246987044</v>
      </c>
      <c r="H5" s="53">
        <f>'No Purchase Scenario'!I43</f>
        <v>65622.924734721964</v>
      </c>
      <c r="I5" s="53">
        <f>'No Purchase Scenario'!J43</f>
        <v>67040.379908991978</v>
      </c>
      <c r="J5" s="53">
        <f>'No Purchase Scenario'!K43</f>
        <v>68488.452115026201</v>
      </c>
      <c r="K5" s="53">
        <f>'No Purchase Scenario'!L43</f>
        <v>69967.802680710767</v>
      </c>
      <c r="L5" s="53">
        <f>'No Purchase Scenario'!M43</f>
        <v>71479.107218614125</v>
      </c>
      <c r="M5" s="53">
        <f>'No Purchase Scenario'!N43</f>
        <v>73023.055934536198</v>
      </c>
      <c r="N5" s="53">
        <f>'No Purchase Scenario'!O43</f>
        <v>74600.353942722184</v>
      </c>
      <c r="O5" s="53">
        <f>'No Purchase Scenario'!P43</f>
        <v>76211.721587884997</v>
      </c>
      <c r="P5" s="53">
        <f>'No Purchase Scenario'!Q43</f>
        <v>77857.894774183311</v>
      </c>
      <c r="Q5" s="53">
        <f>'No Purchase Scenario'!R43</f>
        <v>79539.62530130567</v>
      </c>
      <c r="R5" s="53">
        <f>'No Purchase Scenario'!S43</f>
        <v>81257.68120781389</v>
      </c>
      <c r="S5" s="53">
        <f>'No Purchase Scenario'!T43</f>
        <v>83012.847121902654</v>
      </c>
      <c r="T5" s="53">
        <f>'No Purchase Scenario'!U43</f>
        <v>84805.924619735757</v>
      </c>
      <c r="U5" s="53">
        <f>'No Purchase Scenario'!V43</f>
        <v>86637.732591522072</v>
      </c>
      <c r="V5" s="53">
        <f>'No Purchase Scenario'!W43</f>
        <v>88509.107615498942</v>
      </c>
      <c r="W5" s="53">
        <f>'No Purchase Scenario'!X43</f>
        <v>90420.904339993722</v>
      </c>
      <c r="X5" s="53">
        <f>'No Purchase Scenario'!Y43</f>
        <v>92373.995873737615</v>
      </c>
      <c r="Y5" s="53">
        <f>'No Purchase Scenario'!Z43</f>
        <v>94369.274184610345</v>
      </c>
      <c r="Z5" s="53">
        <f>'No Purchase Scenario'!AA43</f>
        <v>96407.650506997947</v>
      </c>
      <c r="AA5" s="53">
        <f>'No Purchase Scenario'!AB43</f>
        <v>98490.055757949085</v>
      </c>
      <c r="AB5" s="53">
        <f>'No Purchase Scenario'!AC43</f>
        <v>100617.44096232079</v>
      </c>
      <c r="AC5" s="53">
        <f>'No Purchase Scenario'!AD43</f>
        <v>102790.77768710695</v>
      </c>
      <c r="AD5" s="53">
        <f>'No Purchase Scenario'!AE43</f>
        <v>105011.05848514846</v>
      </c>
      <c r="AE5" s="53">
        <f>'No Purchase Scenario'!AF43</f>
        <v>107279.29734842767</v>
      </c>
      <c r="AF5" s="53">
        <f>'No Purchase Scenario'!AG43</f>
        <v>109596.53017115372</v>
      </c>
    </row>
    <row r="6" spans="1:33">
      <c r="B6" s="3" t="s">
        <v>99</v>
      </c>
      <c r="C6" s="2">
        <f>C5-C4</f>
        <v>48958.497181033228</v>
      </c>
      <c r="D6" s="2">
        <f t="shared" ref="D6:AF6" si="0">D5-D4</f>
        <v>50016.000720143536</v>
      </c>
      <c r="E6" s="2">
        <f t="shared" si="0"/>
        <v>51096.346335698647</v>
      </c>
      <c r="F6" s="2">
        <f t="shared" si="0"/>
        <v>52200.027416549754</v>
      </c>
      <c r="G6" s="2">
        <f t="shared" si="0"/>
        <v>53327.548008747217</v>
      </c>
      <c r="H6" s="2">
        <f t="shared" si="0"/>
        <v>54479.423045736155</v>
      </c>
      <c r="I6" s="2">
        <f t="shared" si="0"/>
        <v>55656.178583524073</v>
      </c>
      <c r="J6" s="2">
        <f t="shared" si="0"/>
        <v>56858.352040928192</v>
      </c>
      <c r="K6" s="2">
        <f t="shared" si="0"/>
        <v>58086.492445012242</v>
      </c>
      <c r="L6" s="2">
        <f t="shared" si="0"/>
        <v>59341.160681824513</v>
      </c>
      <c r="M6" s="2">
        <f t="shared" si="0"/>
        <v>60622.929752551929</v>
      </c>
      <c r="N6" s="2">
        <f t="shared" si="0"/>
        <v>61932.385035207051</v>
      </c>
      <c r="O6" s="2">
        <f t="shared" si="0"/>
        <v>63270.124551967536</v>
      </c>
      <c r="P6" s="2">
        <f t="shared" si="0"/>
        <v>64636.759242290034</v>
      </c>
      <c r="Q6" s="2">
        <f t="shared" si="0"/>
        <v>66032.913241923496</v>
      </c>
      <c r="R6" s="2">
        <f t="shared" si="0"/>
        <v>67459.224167949054</v>
      </c>
      <c r="S6" s="2">
        <f t="shared" si="0"/>
        <v>68916.343409976747</v>
      </c>
      <c r="T6" s="2">
        <f t="shared" si="0"/>
        <v>70404.936427632245</v>
      </c>
      <c r="U6" s="2">
        <f t="shared" si="0"/>
        <v>71925.683054469118</v>
      </c>
      <c r="V6" s="2">
        <f t="shared" si="0"/>
        <v>73479.277808445651</v>
      </c>
      <c r="W6" s="2">
        <f t="shared" si="0"/>
        <v>75066.430209108075</v>
      </c>
      <c r="X6" s="2">
        <f t="shared" si="0"/>
        <v>76687.865101624833</v>
      </c>
      <c r="Y6" s="2">
        <f t="shared" si="0"/>
        <v>78344.322987819934</v>
      </c>
      <c r="Z6" s="2">
        <f t="shared" si="0"/>
        <v>80036.560364356861</v>
      </c>
      <c r="AA6" s="2">
        <f t="shared" si="0"/>
        <v>81765.350068226951</v>
      </c>
      <c r="AB6" s="2">
        <f t="shared" si="0"/>
        <v>83531.481629700662</v>
      </c>
      <c r="AC6" s="2">
        <f t="shared" si="0"/>
        <v>85335.761632902228</v>
      </c>
      <c r="AD6" s="2">
        <f t="shared" si="0"/>
        <v>87179.014084172901</v>
      </c>
      <c r="AE6" s="2">
        <f t="shared" si="0"/>
        <v>89062.080788391046</v>
      </c>
      <c r="AF6" s="2">
        <f t="shared" si="0"/>
        <v>90985.821733420307</v>
      </c>
    </row>
    <row r="8" spans="1:33">
      <c r="A8" s="38" t="s">
        <v>88</v>
      </c>
      <c r="B8" s="41">
        <v>0.03</v>
      </c>
      <c r="C8" s="25">
        <f>Maintenance!C8</f>
        <v>1.1592740742999998</v>
      </c>
      <c r="D8" s="25">
        <f>Maintenance!D8</f>
        <v>1.1940522965289999</v>
      </c>
      <c r="E8" s="25">
        <f>Maintenance!E8</f>
        <v>1.22987386542487</v>
      </c>
      <c r="F8" s="25">
        <f>Maintenance!F8</f>
        <v>1.2667700813876159</v>
      </c>
      <c r="G8" s="25">
        <f>Maintenance!G8</f>
        <v>1.3047731838292445</v>
      </c>
      <c r="H8" s="25">
        <f>Maintenance!H8</f>
        <v>1.3439163793441218</v>
      </c>
      <c r="I8" s="25">
        <f>Maintenance!I8</f>
        <v>1.3842338707244455</v>
      </c>
      <c r="J8" s="25">
        <f>Maintenance!J8</f>
        <v>1.4257608868461786</v>
      </c>
      <c r="K8" s="25">
        <f>Maintenance!K8</f>
        <v>1.4685337134515639</v>
      </c>
      <c r="L8" s="25">
        <f>Maintenance!L8</f>
        <v>1.512589724855111</v>
      </c>
      <c r="M8" s="25">
        <f>Maintenance!M8</f>
        <v>1.5579674166007644</v>
      </c>
      <c r="N8" s="25">
        <f>Maintenance!N8</f>
        <v>1.6047064390987871</v>
      </c>
      <c r="O8" s="25">
        <f>Maintenance!O8</f>
        <v>1.6528476322717507</v>
      </c>
      <c r="P8" s="25">
        <f>Maintenance!P8</f>
        <v>1.7024330612399032</v>
      </c>
      <c r="Q8" s="25">
        <f>Maintenance!Q8</f>
        <v>1.7535060530771003</v>
      </c>
      <c r="R8" s="25">
        <f>Maintenance!R8</f>
        <v>1.8061112346694133</v>
      </c>
      <c r="S8" s="25">
        <f>Maintenance!S8</f>
        <v>1.8602945717094954</v>
      </c>
      <c r="T8" s="25">
        <f>Maintenance!T8</f>
        <v>1.9161034088607805</v>
      </c>
      <c r="U8" s="25">
        <f>Maintenance!U8</f>
        <v>1.973586511126604</v>
      </c>
      <c r="V8" s="25">
        <f>Maintenance!V8</f>
        <v>2.0327941064604018</v>
      </c>
      <c r="W8" s="25">
        <f>Maintenance!W8</f>
        <v>2.0937779296542138</v>
      </c>
      <c r="X8" s="25">
        <f>Maintenance!X8</f>
        <v>2.1565912675438406</v>
      </c>
      <c r="Y8" s="25">
        <f>Maintenance!Y8</f>
        <v>2.2212890055701555</v>
      </c>
      <c r="Z8" s="25">
        <f>Maintenance!Z8</f>
        <v>2.2879276757372602</v>
      </c>
      <c r="AA8" s="25">
        <f>Maintenance!AA8</f>
        <v>2.3565655060093778</v>
      </c>
      <c r="AB8" s="25">
        <f>Maintenance!AB8</f>
        <v>2.4272624711896591</v>
      </c>
      <c r="AC8" s="25">
        <f>Maintenance!AC8</f>
        <v>2.5000803453253493</v>
      </c>
      <c r="AD8" s="25">
        <f>Maintenance!AD8</f>
        <v>2.5750827556851092</v>
      </c>
      <c r="AE8" s="25">
        <f>Maintenance!AE8</f>
        <v>2.6523352383556626</v>
      </c>
      <c r="AF8" s="25">
        <f>Maintenance!AF8</f>
        <v>2.7319052955063321</v>
      </c>
    </row>
    <row r="9" spans="1:33">
      <c r="A9" s="38" t="s">
        <v>89</v>
      </c>
      <c r="B9" s="43"/>
      <c r="C9" s="2">
        <f>C6/C8</f>
        <v>42232.029738606601</v>
      </c>
      <c r="D9" s="2">
        <f t="shared" ref="D9:AF9" si="1">D6/D8</f>
        <v>41887.613185398535</v>
      </c>
      <c r="E9" s="2">
        <f t="shared" si="1"/>
        <v>41546.005466216651</v>
      </c>
      <c r="F9" s="2">
        <f t="shared" si="1"/>
        <v>41207.183674064996</v>
      </c>
      <c r="G9" s="2">
        <f t="shared" si="1"/>
        <v>40871.125088761932</v>
      </c>
      <c r="H9" s="2">
        <f t="shared" si="1"/>
        <v>40537.807175416689</v>
      </c>
      <c r="I9" s="2">
        <f t="shared" si="1"/>
        <v>40207.207582918156</v>
      </c>
      <c r="J9" s="2">
        <f t="shared" si="1"/>
        <v>39879.304142436107</v>
      </c>
      <c r="K9" s="2">
        <f t="shared" si="1"/>
        <v>39554.074865934694</v>
      </c>
      <c r="L9" s="2">
        <f t="shared" si="1"/>
        <v>39231.497944697941</v>
      </c>
      <c r="M9" s="2">
        <f t="shared" si="1"/>
        <v>38911.551747867394</v>
      </c>
      <c r="N9" s="2">
        <f t="shared" si="1"/>
        <v>38594.21482099159</v>
      </c>
      <c r="O9" s="2">
        <f t="shared" si="1"/>
        <v>38279.4658845874</v>
      </c>
      <c r="P9" s="2">
        <f t="shared" si="1"/>
        <v>37967.283832713088</v>
      </c>
      <c r="Q9" s="2">
        <f t="shared" si="1"/>
        <v>37657.647731553101</v>
      </c>
      <c r="R9" s="2">
        <f t="shared" si="1"/>
        <v>37350.536818014225</v>
      </c>
      <c r="S9" s="2">
        <f t="shared" si="1"/>
        <v>37045.930498333335</v>
      </c>
      <c r="T9" s="2">
        <f t="shared" si="1"/>
        <v>36743.808346696438</v>
      </c>
      <c r="U9" s="2">
        <f t="shared" si="1"/>
        <v>36444.150103869018</v>
      </c>
      <c r="V9" s="2">
        <f t="shared" si="1"/>
        <v>36146.935675837471</v>
      </c>
      <c r="W9" s="2">
        <f t="shared" si="1"/>
        <v>35852.145132461708</v>
      </c>
      <c r="X9" s="2">
        <f t="shared" si="1"/>
        <v>35559.758706138724</v>
      </c>
      <c r="Y9" s="2">
        <f t="shared" si="1"/>
        <v>35269.756790477019</v>
      </c>
      <c r="Z9" s="2">
        <f t="shared" si="1"/>
        <v>34982.119938981872</v>
      </c>
      <c r="AA9" s="2">
        <f t="shared" si="1"/>
        <v>34696.82886375134</v>
      </c>
      <c r="AB9" s="2">
        <f t="shared" si="1"/>
        <v>34413.864434182884</v>
      </c>
      <c r="AC9" s="2">
        <f t="shared" si="1"/>
        <v>34133.207675690523</v>
      </c>
      <c r="AD9" s="2">
        <f t="shared" si="1"/>
        <v>33854.839768432466</v>
      </c>
      <c r="AE9" s="2">
        <f t="shared" si="1"/>
        <v>33578.742046049134</v>
      </c>
      <c r="AF9" s="2">
        <f t="shared" si="1"/>
        <v>33304.895994411461</v>
      </c>
    </row>
    <row r="10" spans="1:33">
      <c r="A10" s="40"/>
      <c r="B10" s="40"/>
    </row>
    <row r="11" spans="1:33">
      <c r="A11" s="40" t="s">
        <v>88</v>
      </c>
      <c r="B11" s="41">
        <v>7.0000000000000007E-2</v>
      </c>
      <c r="C11" s="25">
        <f>Maintenance!C11</f>
        <v>1.4025517307000002</v>
      </c>
      <c r="D11" s="25">
        <f>Maintenance!D11</f>
        <v>1.5007303518490001</v>
      </c>
      <c r="E11" s="25">
        <f>Maintenance!E11</f>
        <v>1.6057814764784302</v>
      </c>
      <c r="F11" s="25">
        <f>Maintenance!F11</f>
        <v>1.7181861798319202</v>
      </c>
      <c r="G11" s="25">
        <f>Maintenance!G11</f>
        <v>1.8384592124201549</v>
      </c>
      <c r="H11" s="25">
        <f>Maintenance!H11</f>
        <v>1.9671513572895656</v>
      </c>
      <c r="I11" s="25">
        <f>Maintenance!I11</f>
        <v>2.1048519522998355</v>
      </c>
      <c r="J11" s="25">
        <f>Maintenance!J11</f>
        <v>2.2521915889608235</v>
      </c>
      <c r="K11" s="25">
        <f>Maintenance!K11</f>
        <v>2.4098450001880813</v>
      </c>
      <c r="L11" s="25">
        <f>Maintenance!L11</f>
        <v>2.5785341502012469</v>
      </c>
      <c r="M11" s="25">
        <f>Maintenance!M11</f>
        <v>2.7590315407153345</v>
      </c>
      <c r="N11" s="25">
        <f>Maintenance!N11</f>
        <v>2.9521637485654075</v>
      </c>
      <c r="O11" s="25">
        <f>Maintenance!O11</f>
        <v>3.1588152109649861</v>
      </c>
      <c r="P11" s="25">
        <f>Maintenance!P11</f>
        <v>3.3799322757325352</v>
      </c>
      <c r="Q11" s="25">
        <f>Maintenance!Q11</f>
        <v>3.6165275350338129</v>
      </c>
      <c r="R11" s="25">
        <f>Maintenance!R11</f>
        <v>3.8696844624861795</v>
      </c>
      <c r="S11" s="25">
        <f>Maintenance!S11</f>
        <v>4.1405623748602123</v>
      </c>
      <c r="T11" s="25">
        <f>Maintenance!T11</f>
        <v>4.4304017411004271</v>
      </c>
      <c r="U11" s="25">
        <f>Maintenance!U11</f>
        <v>4.740529862977457</v>
      </c>
      <c r="V11" s="25">
        <f>Maintenance!V11</f>
        <v>5.0723669533858793</v>
      </c>
      <c r="W11" s="25">
        <f>Maintenance!W11</f>
        <v>5.4274326401228912</v>
      </c>
      <c r="X11" s="25">
        <f>Maintenance!X11</f>
        <v>5.807352924931493</v>
      </c>
      <c r="Y11" s="25">
        <f>Maintenance!Y11</f>
        <v>6.2138676296766988</v>
      </c>
      <c r="Z11" s="25">
        <f>Maintenance!Z11</f>
        <v>6.6488383637540664</v>
      </c>
      <c r="AA11" s="25">
        <f>Maintenance!AA11</f>
        <v>7.1142570492168513</v>
      </c>
      <c r="AB11" s="25">
        <f>Maintenance!AB11</f>
        <v>7.6122550426620306</v>
      </c>
      <c r="AC11" s="25">
        <f>Maintenance!AC11</f>
        <v>8.1451128956483743</v>
      </c>
      <c r="AD11" s="25">
        <f>Maintenance!AD11</f>
        <v>8.7152707983437594</v>
      </c>
      <c r="AE11" s="25">
        <f>Maintenance!AE11</f>
        <v>9.3253397542278229</v>
      </c>
      <c r="AF11" s="25">
        <f>Maintenance!AF11</f>
        <v>9.9781135370237699</v>
      </c>
    </row>
    <row r="12" spans="1:33">
      <c r="A12" s="40" t="s">
        <v>90</v>
      </c>
      <c r="B12" s="40"/>
      <c r="C12" s="2">
        <f>C6/C11</f>
        <v>34906.731858366831</v>
      </c>
      <c r="D12" s="2">
        <f t="shared" ref="D12:AF12" si="2">D6/D11</f>
        <v>33327.773146268737</v>
      </c>
      <c r="E12" s="2">
        <f t="shared" si="2"/>
        <v>31820.236491802007</v>
      </c>
      <c r="F12" s="2">
        <f t="shared" si="2"/>
        <v>30380.891214976578</v>
      </c>
      <c r="G12" s="2">
        <f t="shared" si="2"/>
        <v>29006.652771233705</v>
      </c>
      <c r="H12" s="2">
        <f t="shared" si="2"/>
        <v>27694.576141207806</v>
      </c>
      <c r="I12" s="2">
        <f t="shared" si="2"/>
        <v>26441.849519493364</v>
      </c>
      <c r="J12" s="2">
        <f t="shared" si="2"/>
        <v>25245.788288891985</v>
      </c>
      <c r="K12" s="2">
        <f t="shared" si="2"/>
        <v>24103.829267226218</v>
      </c>
      <c r="L12" s="2">
        <f t="shared" si="2"/>
        <v>23013.525214390942</v>
      </c>
      <c r="M12" s="2">
        <f t="shared" si="2"/>
        <v>21972.539587870826</v>
      </c>
      <c r="N12" s="2">
        <f t="shared" si="2"/>
        <v>20978.641535484898</v>
      </c>
      <c r="O12" s="2">
        <f t="shared" si="2"/>
        <v>20029.701114627453</v>
      </c>
      <c r="P12" s="2">
        <f t="shared" si="2"/>
        <v>19123.684727760192</v>
      </c>
      <c r="Q12" s="2">
        <f t="shared" si="2"/>
        <v>18258.650764373655</v>
      </c>
      <c r="R12" s="2">
        <f t="shared" si="2"/>
        <v>17432.745440078626</v>
      </c>
      <c r="S12" s="2">
        <f t="shared" si="2"/>
        <v>16644.198823910581</v>
      </c>
      <c r="T12" s="2">
        <f t="shared" si="2"/>
        <v>15891.321045333691</v>
      </c>
      <c r="U12" s="2">
        <f t="shared" si="2"/>
        <v>15172.498672815796</v>
      </c>
      <c r="V12" s="2">
        <f t="shared" si="2"/>
        <v>14486.19125621366</v>
      </c>
      <c r="W12" s="2">
        <f t="shared" si="2"/>
        <v>13830.928025558762</v>
      </c>
      <c r="X12" s="2">
        <f t="shared" si="2"/>
        <v>13205.304739169005</v>
      </c>
      <c r="Y12" s="2">
        <f t="shared" si="2"/>
        <v>12607.980674331826</v>
      </c>
      <c r="Z12" s="2">
        <f t="shared" si="2"/>
        <v>12037.675754109719</v>
      </c>
      <c r="AA12" s="2">
        <f t="shared" si="2"/>
        <v>11493.167804110735</v>
      </c>
      <c r="AB12" s="2">
        <f t="shared" si="2"/>
        <v>10973.289933345353</v>
      </c>
      <c r="AC12" s="2">
        <f t="shared" si="2"/>
        <v>10476.928033556649</v>
      </c>
      <c r="AD12" s="2">
        <f t="shared" si="2"/>
        <v>10003.018391664928</v>
      </c>
      <c r="AE12" s="2">
        <f t="shared" si="2"/>
        <v>9550.5454102101776</v>
      </c>
      <c r="AF12" s="2">
        <f t="shared" si="2"/>
        <v>9118.5394309072144</v>
      </c>
    </row>
    <row r="15" spans="1:33">
      <c r="A15" t="s">
        <v>91</v>
      </c>
      <c r="B15" t="s">
        <v>92</v>
      </c>
      <c r="C15" s="2">
        <f>SUM(C9:AF9)</f>
        <v>1127941.5336754925</v>
      </c>
    </row>
    <row r="16" spans="1:33">
      <c r="B16" t="s">
        <v>93</v>
      </c>
      <c r="C16" s="2">
        <f>SUM(C12:AF12)</f>
        <v>579229.40507929202</v>
      </c>
    </row>
    <row r="17" spans="1:10">
      <c r="B17" t="s">
        <v>94</v>
      </c>
      <c r="C17" s="2">
        <f>SUM(C6:AF6)</f>
        <v>2036695.2917513344</v>
      </c>
    </row>
    <row r="18" spans="1:10">
      <c r="C18" s="2"/>
    </row>
    <row r="19" spans="1:10" ht="31.5" customHeight="1">
      <c r="B19" s="111" t="s">
        <v>100</v>
      </c>
      <c r="C19" s="1">
        <f>C4/C5</f>
        <v>0.16981110997464621</v>
      </c>
    </row>
    <row r="21" spans="1:10">
      <c r="A21" s="90" t="s">
        <v>101</v>
      </c>
      <c r="B21" s="91"/>
    </row>
    <row r="23" spans="1:10">
      <c r="B23" s="3" t="s">
        <v>102</v>
      </c>
      <c r="D23" t="s">
        <v>103</v>
      </c>
      <c r="F23" s="3" t="s">
        <v>104</v>
      </c>
      <c r="G23" s="75">
        <v>2000</v>
      </c>
      <c r="I23" t="s">
        <v>105</v>
      </c>
      <c r="J23" s="75">
        <v>1000</v>
      </c>
    </row>
    <row r="24" spans="1:10">
      <c r="B24" t="s">
        <v>106</v>
      </c>
      <c r="C24" s="26">
        <v>2526.33</v>
      </c>
      <c r="D24">
        <v>2023</v>
      </c>
      <c r="F24" t="s">
        <v>107</v>
      </c>
      <c r="G24">
        <v>907.18499999999995</v>
      </c>
    </row>
    <row r="25" spans="1:10">
      <c r="B25" t="s">
        <v>108</v>
      </c>
      <c r="C25" s="26">
        <v>10484</v>
      </c>
      <c r="D25">
        <v>2023</v>
      </c>
      <c r="F25" t="s">
        <v>109</v>
      </c>
      <c r="G25">
        <v>2204.62</v>
      </c>
    </row>
    <row r="26" spans="1:10">
      <c r="B26" t="s">
        <v>110</v>
      </c>
      <c r="C26" s="26">
        <v>477224</v>
      </c>
      <c r="D26">
        <v>2023</v>
      </c>
      <c r="F26" t="s">
        <v>111</v>
      </c>
      <c r="G26" s="75">
        <f>G24*1000</f>
        <v>907185</v>
      </c>
    </row>
    <row r="27" spans="1:10">
      <c r="B27" t="s">
        <v>112</v>
      </c>
      <c r="C27" s="26">
        <v>61768</v>
      </c>
      <c r="D27">
        <v>2023</v>
      </c>
      <c r="F27" s="3" t="s">
        <v>113</v>
      </c>
      <c r="G27" s="75">
        <v>1000</v>
      </c>
    </row>
    <row r="28" spans="1:10">
      <c r="B28" t="s">
        <v>114</v>
      </c>
      <c r="C28" s="26">
        <v>36</v>
      </c>
      <c r="D28">
        <v>2007</v>
      </c>
      <c r="F28" t="s">
        <v>115</v>
      </c>
      <c r="G28" s="75">
        <v>1000000</v>
      </c>
    </row>
    <row r="29" spans="1:10">
      <c r="B29" s="47" t="s">
        <v>116</v>
      </c>
      <c r="C29" s="24">
        <v>54.56</v>
      </c>
      <c r="D29">
        <v>2023</v>
      </c>
      <c r="F29" t="s">
        <v>117</v>
      </c>
      <c r="G29" s="80">
        <v>9.0999999999999998E-2</v>
      </c>
      <c r="H29" s="78" t="s">
        <v>118</v>
      </c>
    </row>
    <row r="31" spans="1:10">
      <c r="B31" t="s">
        <v>119</v>
      </c>
    </row>
    <row r="33" spans="2:5">
      <c r="B33" s="3" t="s">
        <v>120</v>
      </c>
      <c r="C33" s="77" t="s">
        <v>121</v>
      </c>
    </row>
    <row r="34" spans="2:5">
      <c r="B34" t="s">
        <v>122</v>
      </c>
      <c r="C34">
        <v>539.4</v>
      </c>
    </row>
    <row r="35" spans="2:5">
      <c r="B35" t="s">
        <v>123</v>
      </c>
      <c r="C35" s="79">
        <f>C34/G27</f>
        <v>0.53939999999999999</v>
      </c>
    </row>
    <row r="36" spans="2:5">
      <c r="B36" t="s">
        <v>124</v>
      </c>
      <c r="C36" s="76">
        <f>C35/G25</f>
        <v>2.4466801534958404E-4</v>
      </c>
    </row>
    <row r="37" spans="2:5">
      <c r="B37" t="s">
        <v>125</v>
      </c>
      <c r="C37">
        <v>8.9999999999999993E-3</v>
      </c>
    </row>
    <row r="38" spans="2:5">
      <c r="B38" t="s">
        <v>123</v>
      </c>
      <c r="C38" s="76">
        <f>C37/G27</f>
        <v>8.9999999999999985E-6</v>
      </c>
    </row>
    <row r="39" spans="2:5">
      <c r="B39" t="s">
        <v>126</v>
      </c>
      <c r="C39">
        <f>C38/G23</f>
        <v>4.4999999999999989E-9</v>
      </c>
    </row>
    <row r="40" spans="2:5">
      <c r="B40" t="s">
        <v>127</v>
      </c>
      <c r="C40">
        <v>7.1999999999999995E-2</v>
      </c>
    </row>
    <row r="41" spans="2:5">
      <c r="B41" t="s">
        <v>123</v>
      </c>
      <c r="C41" s="76">
        <f>C40/$G$27</f>
        <v>7.1999999999999988E-5</v>
      </c>
    </row>
    <row r="42" spans="2:5">
      <c r="B42" t="s">
        <v>126</v>
      </c>
      <c r="C42">
        <f>C41/G23</f>
        <v>3.5999999999999991E-8</v>
      </c>
    </row>
    <row r="44" spans="2:5">
      <c r="B44" s="3" t="s">
        <v>128</v>
      </c>
      <c r="C44" s="77" t="s">
        <v>118</v>
      </c>
    </row>
    <row r="45" spans="2:5">
      <c r="B45" t="s">
        <v>129</v>
      </c>
      <c r="C45">
        <v>62.87</v>
      </c>
    </row>
    <row r="46" spans="2:5">
      <c r="B46" t="s">
        <v>130</v>
      </c>
      <c r="C46" s="76">
        <f>C45/J23</f>
        <v>6.2869999999999995E-2</v>
      </c>
    </row>
    <row r="47" spans="2:5">
      <c r="B47" t="s">
        <v>131</v>
      </c>
      <c r="C47" s="76">
        <f>C46*G29</f>
        <v>5.7211699999999994E-3</v>
      </c>
      <c r="E47" s="76"/>
    </row>
    <row r="48" spans="2:5">
      <c r="B48" t="s">
        <v>132</v>
      </c>
      <c r="C48">
        <v>0.6</v>
      </c>
    </row>
    <row r="49" spans="2:3">
      <c r="B49" t="s">
        <v>133</v>
      </c>
      <c r="C49" s="81">
        <f>C48/$G$26</f>
        <v>6.6138659700061178E-7</v>
      </c>
    </row>
    <row r="50" spans="2:3">
      <c r="B50" t="s">
        <v>134</v>
      </c>
      <c r="C50" s="81">
        <f>C49*$G$29</f>
        <v>6.0186180327055672E-8</v>
      </c>
    </row>
    <row r="51" spans="2:3">
      <c r="B51" t="s">
        <v>135</v>
      </c>
      <c r="C51">
        <v>3</v>
      </c>
    </row>
    <row r="52" spans="2:3">
      <c r="B52" t="s">
        <v>133</v>
      </c>
      <c r="C52" s="81">
        <f>C51/$G$26</f>
        <v>3.3069329850030588E-6</v>
      </c>
    </row>
    <row r="53" spans="2:3">
      <c r="B53" t="s">
        <v>134</v>
      </c>
      <c r="C53" s="81">
        <f>C52*$G$29</f>
        <v>3.0093090163527833E-7</v>
      </c>
    </row>
    <row r="55" spans="2:3">
      <c r="B55" s="3" t="s">
        <v>136</v>
      </c>
      <c r="C55" s="77" t="s">
        <v>137</v>
      </c>
    </row>
    <row r="56" spans="2:3">
      <c r="B56" t="s">
        <v>129</v>
      </c>
      <c r="C56">
        <v>31</v>
      </c>
    </row>
    <row r="57" spans="2:3">
      <c r="B57" t="s">
        <v>130</v>
      </c>
      <c r="C57" s="76">
        <f>C56/J23</f>
        <v>3.1E-2</v>
      </c>
    </row>
    <row r="58" spans="2:3">
      <c r="B58" t="s">
        <v>131</v>
      </c>
      <c r="C58" s="76">
        <f>C57*G29</f>
        <v>2.8209999999999997E-3</v>
      </c>
    </row>
    <row r="59" spans="2:3">
      <c r="B59" t="s">
        <v>138</v>
      </c>
      <c r="C59">
        <v>3.2800000000000003E-2</v>
      </c>
    </row>
    <row r="60" spans="2:3">
      <c r="B60" t="s">
        <v>133</v>
      </c>
      <c r="C60" s="81">
        <f>C59/$G$26</f>
        <v>3.6155800636033446E-8</v>
      </c>
    </row>
    <row r="61" spans="2:3">
      <c r="B61" t="s">
        <v>134</v>
      </c>
      <c r="C61" s="81">
        <f>C60*$G$29</f>
        <v>3.2901778578790434E-9</v>
      </c>
    </row>
    <row r="62" spans="2:3">
      <c r="B62" t="s">
        <v>139</v>
      </c>
      <c r="C62">
        <v>9.7999999999999997E-3</v>
      </c>
    </row>
    <row r="63" spans="2:3">
      <c r="B63" t="s">
        <v>133</v>
      </c>
      <c r="C63" s="156">
        <f>C62/$G$26</f>
        <v>1.0802647751009993E-8</v>
      </c>
    </row>
    <row r="64" spans="2:3">
      <c r="B64" t="s">
        <v>134</v>
      </c>
      <c r="C64" s="156">
        <f>C63*$G$29</f>
        <v>9.8304094534190923E-10</v>
      </c>
    </row>
    <row r="66" spans="2:7">
      <c r="B66" s="3" t="s">
        <v>140</v>
      </c>
    </row>
    <row r="67" spans="2:7">
      <c r="B67" s="10" t="s">
        <v>58</v>
      </c>
      <c r="C67" s="25">
        <f>'Costs and Assumptions'!C39</f>
        <v>1.61</v>
      </c>
    </row>
    <row r="68" spans="2:7">
      <c r="B68" s="10" t="s">
        <v>141</v>
      </c>
      <c r="C68" s="83">
        <f>C36/C67</f>
        <v>1.5196771139725716E-4</v>
      </c>
      <c r="E68">
        <f>SUM(C68*'Costs and Assumptions'!$C$25)</f>
        <v>110.22035746389385</v>
      </c>
      <c r="F68" s="76">
        <f>E68*C85</f>
        <v>121.49700223602481</v>
      </c>
      <c r="G68" s="76">
        <f>F68*15</f>
        <v>1822.4550335403721</v>
      </c>
    </row>
    <row r="69" spans="2:7">
      <c r="B69" s="10" t="s">
        <v>142</v>
      </c>
      <c r="C69" s="83">
        <f>C39/$C$67</f>
        <v>2.7950310559006205E-9</v>
      </c>
      <c r="E69">
        <f>SUM(C69*'Costs and Assumptions'!$C$25)</f>
        <v>2.0272024844720494E-3</v>
      </c>
    </row>
    <row r="70" spans="2:7">
      <c r="B70" s="10" t="s">
        <v>143</v>
      </c>
      <c r="C70" s="83">
        <f>C42/$C$67</f>
        <v>2.2360248447204964E-8</v>
      </c>
      <c r="E70">
        <f>SUM(C70*'Costs and Assumptions'!$C$25)</f>
        <v>1.6217619875776395E-2</v>
      </c>
    </row>
    <row r="71" spans="2:7">
      <c r="B71" s="10" t="s">
        <v>144</v>
      </c>
      <c r="C71" s="84">
        <f>C69*$C$25+C70*$C$24+C68*$C$29</f>
        <v>8.3771508058840399E-3</v>
      </c>
      <c r="D71" s="24">
        <f>C71*1000</f>
        <v>8.3771508058840407</v>
      </c>
    </row>
    <row r="72" spans="2:7">
      <c r="B72" s="10" t="s">
        <v>53</v>
      </c>
      <c r="C72" s="25">
        <f>'Costs and Assumptions'!C34</f>
        <v>3.8</v>
      </c>
      <c r="D72" s="24"/>
    </row>
    <row r="73" spans="2:7">
      <c r="B73" s="10" t="s">
        <v>141</v>
      </c>
      <c r="C73" s="82">
        <f>C47/$C$72</f>
        <v>1.5055710526315788E-3</v>
      </c>
      <c r="D73" s="24"/>
      <c r="E73">
        <f>SUM(C73*'Costs and Assumptions'!$C$27)</f>
        <v>760.7349414736841</v>
      </c>
      <c r="F73" s="76">
        <f>SUM(C85*E73)</f>
        <v>838.56573333585663</v>
      </c>
      <c r="G73" s="76">
        <f>F73*15</f>
        <v>12578.48600003785</v>
      </c>
    </row>
    <row r="74" spans="2:7">
      <c r="B74" s="10" t="s">
        <v>142</v>
      </c>
      <c r="C74" s="82">
        <f>C53/$C$72</f>
        <v>7.9192342535599561E-8</v>
      </c>
      <c r="D74" s="24"/>
      <c r="E74">
        <f>SUM(C74*'Costs and Assumptions'!$C$27)</f>
        <v>4.0014306836387743E-2</v>
      </c>
    </row>
    <row r="75" spans="2:7">
      <c r="B75" s="10" t="s">
        <v>143</v>
      </c>
      <c r="C75" s="82">
        <f>C49/$C$72</f>
        <v>1.7404910447384522E-7</v>
      </c>
      <c r="D75" s="24"/>
      <c r="E75">
        <f>SUM(C75*'Costs and Assumptions'!$C$27)</f>
        <v>8.7943531508544517E-2</v>
      </c>
    </row>
    <row r="76" spans="2:7">
      <c r="B76" s="10" t="s">
        <v>144</v>
      </c>
      <c r="C76" s="84">
        <f>C74*$C$25+C75*$C$24+C73*$C$29</f>
        <v>8.3413914624827584E-2</v>
      </c>
      <c r="D76" s="24">
        <f>C76*1000</f>
        <v>83.413914624827584</v>
      </c>
    </row>
    <row r="77" spans="2:7">
      <c r="B77" s="10" t="s">
        <v>145</v>
      </c>
      <c r="C77" s="25">
        <f>'Costs and Assumptions'!C35</f>
        <v>4</v>
      </c>
      <c r="D77" s="24"/>
    </row>
    <row r="78" spans="2:7">
      <c r="B78" s="10" t="s">
        <v>141</v>
      </c>
      <c r="C78" s="83">
        <f>C58/C77</f>
        <v>7.0524999999999993E-4</v>
      </c>
      <c r="D78" s="24"/>
      <c r="E78">
        <f>SUM(C73*'Costs and Assumptions'!$C$28)</f>
        <v>424.39639059999996</v>
      </c>
      <c r="F78" s="76">
        <f>SUM(C85*E78)</f>
        <v>467.8163853222859</v>
      </c>
      <c r="G78" s="76">
        <f>SUM(F78*15)</f>
        <v>7017.2457798342884</v>
      </c>
    </row>
    <row r="79" spans="2:7">
      <c r="B79" s="10" t="s">
        <v>142</v>
      </c>
      <c r="C79" s="83">
        <f>C61/C77</f>
        <v>8.2254446446976086E-10</v>
      </c>
      <c r="D79" s="24"/>
      <c r="E79">
        <f>SUM(C74*'Costs and Assumptions'!$C$28)</f>
        <v>2.2323054283304947E-2</v>
      </c>
    </row>
    <row r="80" spans="2:7">
      <c r="B80" s="10" t="s">
        <v>143</v>
      </c>
      <c r="C80" s="83">
        <f>C64/C77</f>
        <v>2.4576023633547731E-10</v>
      </c>
      <c r="D80" s="24"/>
      <c r="E80">
        <f>SUM(C75*'Costs and Assumptions'!$C$28)</f>
        <v>4.9061657765505383E-2</v>
      </c>
    </row>
    <row r="81" spans="2:7">
      <c r="B81" t="s">
        <v>144</v>
      </c>
      <c r="C81" s="157">
        <f>C79*$C$25+C80*$C$24+C78*$C$29</f>
        <v>3.8487684427623362E-2</v>
      </c>
      <c r="D81" s="158">
        <f>C81*1000</f>
        <v>38.487684427623364</v>
      </c>
    </row>
    <row r="82" spans="2:7">
      <c r="B82" s="99"/>
      <c r="C82" s="145"/>
    </row>
    <row r="83" spans="2:7">
      <c r="B83" s="125"/>
      <c r="C83" s="125"/>
    </row>
    <row r="84" spans="2:7">
      <c r="B84" s="125"/>
      <c r="C84" s="146"/>
    </row>
    <row r="85" spans="2:7">
      <c r="B85" s="125" t="s">
        <v>146</v>
      </c>
      <c r="C85" s="146">
        <v>1.1023099999999999</v>
      </c>
      <c r="F85" s="76">
        <f>F73-F68</f>
        <v>717.06873109983178</v>
      </c>
      <c r="G85" s="76">
        <f>G73-G68</f>
        <v>10756.030966497477</v>
      </c>
    </row>
    <row r="86" spans="2:7">
      <c r="B86" s="125"/>
      <c r="C86" s="125"/>
    </row>
    <row r="87" spans="2:7">
      <c r="B87" s="125"/>
      <c r="C87" s="147"/>
    </row>
    <row r="88" spans="2:7">
      <c r="B88" s="125"/>
      <c r="C88" s="147"/>
    </row>
    <row r="89" spans="2:7">
      <c r="B89" s="125"/>
      <c r="C89" s="125"/>
    </row>
    <row r="90" spans="2:7">
      <c r="B90" s="125"/>
      <c r="C90" s="147"/>
    </row>
    <row r="91" spans="2:7">
      <c r="B91" s="125"/>
      <c r="C91" s="14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AF20"/>
  <sheetViews>
    <sheetView workbookViewId="0">
      <selection activeCell="B12" sqref="B12"/>
    </sheetView>
  </sheetViews>
  <sheetFormatPr defaultRowHeight="15"/>
  <cols>
    <col min="1" max="1" width="21.85546875" customWidth="1"/>
    <col min="2" max="2" width="29.85546875" bestFit="1" customWidth="1"/>
    <col min="3" max="3" width="14.5703125" bestFit="1" customWidth="1"/>
    <col min="4" max="32" width="12.7109375" customWidth="1"/>
  </cols>
  <sheetData>
    <row r="1" spans="1:32">
      <c r="A1" s="3" t="s">
        <v>147</v>
      </c>
    </row>
    <row r="3" spans="1:32">
      <c r="C3" s="6">
        <v>2026</v>
      </c>
      <c r="D3" s="6">
        <v>2027</v>
      </c>
      <c r="E3" s="6">
        <v>2028</v>
      </c>
      <c r="F3" s="6">
        <v>2029</v>
      </c>
      <c r="G3" s="6">
        <v>2030</v>
      </c>
      <c r="H3" s="6">
        <v>2031</v>
      </c>
      <c r="I3" s="6">
        <v>2032</v>
      </c>
      <c r="J3" s="6">
        <v>2033</v>
      </c>
      <c r="K3" s="6">
        <v>2034</v>
      </c>
      <c r="L3" s="6">
        <v>2035</v>
      </c>
      <c r="M3" s="6">
        <v>2036</v>
      </c>
      <c r="N3" s="6">
        <v>2037</v>
      </c>
      <c r="O3" s="6">
        <v>2038</v>
      </c>
      <c r="P3" s="6">
        <v>2039</v>
      </c>
      <c r="Q3" s="6">
        <v>2040</v>
      </c>
      <c r="R3" s="6">
        <v>2041</v>
      </c>
      <c r="S3" s="6">
        <v>2042</v>
      </c>
      <c r="T3" s="6">
        <v>2043</v>
      </c>
      <c r="U3" s="6">
        <v>2044</v>
      </c>
      <c r="V3" s="6">
        <v>2045</v>
      </c>
      <c r="W3" s="6">
        <v>2046</v>
      </c>
      <c r="X3" s="6">
        <v>2047</v>
      </c>
      <c r="Y3" s="6">
        <v>2048</v>
      </c>
      <c r="Z3" s="6">
        <v>2049</v>
      </c>
      <c r="AA3" s="6">
        <v>2050</v>
      </c>
      <c r="AB3" s="6">
        <v>2051</v>
      </c>
      <c r="AC3" s="6">
        <v>2052</v>
      </c>
      <c r="AD3" s="6">
        <v>2053</v>
      </c>
      <c r="AE3" s="6">
        <v>2054</v>
      </c>
      <c r="AF3" s="6">
        <v>2055</v>
      </c>
    </row>
    <row r="4" spans="1:32">
      <c r="B4" t="s">
        <v>148</v>
      </c>
      <c r="C4" s="122">
        <f>'BEB Purchase Scenario'!D30</f>
        <v>246773.5</v>
      </c>
      <c r="D4" s="122">
        <f>'BEB Purchase Scenario'!E30</f>
        <v>246773.5</v>
      </c>
      <c r="E4" s="122">
        <f>'BEB Purchase Scenario'!F30</f>
        <v>246773.5</v>
      </c>
      <c r="F4" s="122">
        <f>'BEB Purchase Scenario'!G30</f>
        <v>246773.5</v>
      </c>
      <c r="G4" s="122">
        <f>'BEB Purchase Scenario'!H30</f>
        <v>246773.5</v>
      </c>
      <c r="H4" s="122">
        <f>'BEB Purchase Scenario'!I30</f>
        <v>246773.5</v>
      </c>
      <c r="I4" s="122">
        <f>'BEB Purchase Scenario'!J30</f>
        <v>246773.5</v>
      </c>
      <c r="J4" s="122">
        <f>'BEB Purchase Scenario'!K30</f>
        <v>246773.5</v>
      </c>
      <c r="K4" s="122">
        <f>'BEB Purchase Scenario'!L30</f>
        <v>246773.5</v>
      </c>
      <c r="L4" s="122">
        <f>'BEB Purchase Scenario'!M30</f>
        <v>246773.5</v>
      </c>
      <c r="M4" s="122">
        <f>'BEB Purchase Scenario'!N30</f>
        <v>246773.5</v>
      </c>
      <c r="N4" s="122">
        <f>'BEB Purchase Scenario'!O30</f>
        <v>246773.5</v>
      </c>
      <c r="O4" s="122">
        <f>'BEB Purchase Scenario'!P30</f>
        <v>246773.5</v>
      </c>
      <c r="P4" s="122">
        <f>'BEB Purchase Scenario'!Q30</f>
        <v>246773.5</v>
      </c>
      <c r="Q4" s="122">
        <f>'BEB Purchase Scenario'!R30</f>
        <v>246773.5</v>
      </c>
      <c r="R4" s="122">
        <f>'BEB Purchase Scenario'!S30</f>
        <v>246773.5</v>
      </c>
      <c r="S4" s="122">
        <f>'BEB Purchase Scenario'!T30</f>
        <v>246773.5</v>
      </c>
      <c r="T4" s="122">
        <f>'BEB Purchase Scenario'!U30</f>
        <v>246773.5</v>
      </c>
      <c r="U4" s="122">
        <f>'BEB Purchase Scenario'!V30</f>
        <v>246773.5</v>
      </c>
      <c r="V4" s="122">
        <f>'BEB Purchase Scenario'!W30</f>
        <v>246773.5</v>
      </c>
      <c r="W4" s="122">
        <f>'BEB Purchase Scenario'!X30</f>
        <v>246773.5</v>
      </c>
      <c r="X4" s="122">
        <f>'BEB Purchase Scenario'!Y30</f>
        <v>246773.5</v>
      </c>
      <c r="Y4" s="122">
        <f>'BEB Purchase Scenario'!Z30</f>
        <v>246773.5</v>
      </c>
      <c r="Z4" s="122">
        <f>'BEB Purchase Scenario'!AA30</f>
        <v>246773.5</v>
      </c>
      <c r="AA4" s="122">
        <f>'BEB Purchase Scenario'!AB30</f>
        <v>246773.5</v>
      </c>
      <c r="AB4" s="122">
        <f>'BEB Purchase Scenario'!AC30</f>
        <v>246773.5</v>
      </c>
      <c r="AC4" s="122">
        <f>'BEB Purchase Scenario'!AD30</f>
        <v>246773.5</v>
      </c>
      <c r="AD4" s="122">
        <f>'BEB Purchase Scenario'!AE30</f>
        <v>246773.5</v>
      </c>
      <c r="AE4" s="122">
        <f>'BEB Purchase Scenario'!AF30</f>
        <v>246773.5</v>
      </c>
      <c r="AF4" s="122">
        <f>'BEB Purchase Scenario'!AG30</f>
        <v>246773.5</v>
      </c>
    </row>
    <row r="5" spans="1:32">
      <c r="B5" t="s">
        <v>149</v>
      </c>
      <c r="C5" s="53">
        <f>'BEB Purchase Scenario'!D35</f>
        <v>3876458.1701774299</v>
      </c>
      <c r="D5" s="53">
        <f>'BEB Purchase Scenario'!E35</f>
        <v>3960189.6666532625</v>
      </c>
      <c r="E5" s="53">
        <f>'BEB Purchase Scenario'!F35</f>
        <v>4045729.7634529732</v>
      </c>
      <c r="F5" s="53">
        <f>'BEB Purchase Scenario'!G35</f>
        <v>4133117.526343558</v>
      </c>
      <c r="G5" s="53">
        <f>'BEB Purchase Scenario'!H35</f>
        <v>4222392.8649125788</v>
      </c>
      <c r="H5" s="53">
        <f>'BEB Purchase Scenario'!I35</f>
        <v>4313596.5507946908</v>
      </c>
      <c r="I5" s="53">
        <f>'BEB Purchase Scenario'!J35</f>
        <v>4406770.2362918574</v>
      </c>
      <c r="J5" s="53">
        <f>'BEB Purchase Scenario'!K35</f>
        <v>4501956.4733957611</v>
      </c>
      <c r="K5" s="53">
        <f>'BEB Purchase Scenario'!L35</f>
        <v>4599198.733221109</v>
      </c>
      <c r="L5" s="53">
        <f>'BEB Purchase Scenario'!M35</f>
        <v>4698541.4258586857</v>
      </c>
      <c r="M5" s="53">
        <f>'BEB Purchase Scenario'!N35</f>
        <v>4800029.9206572343</v>
      </c>
      <c r="N5" s="53">
        <f>'BEB Purchase Scenario'!O35</f>
        <v>4903710.5669434303</v>
      </c>
      <c r="O5" s="53">
        <f>'BEB Purchase Scenario'!P35</f>
        <v>5009630.7151894094</v>
      </c>
      <c r="P5" s="53">
        <f>'BEB Purchase Scenario'!Q35</f>
        <v>5117838.7386375014</v>
      </c>
      <c r="Q5" s="53">
        <f>'BEB Purchase Scenario'!R35</f>
        <v>5228384.0553920716</v>
      </c>
      <c r="R5" s="53">
        <f>'BEB Purchase Scenario'!S35</f>
        <v>5341317.1509885397</v>
      </c>
      <c r="S5" s="53">
        <f>'BEB Purchase Scenario'!T35</f>
        <v>5456689.6014498929</v>
      </c>
      <c r="T5" s="53">
        <f>'BEB Purchase Scenario'!U35</f>
        <v>5574554.0968412105</v>
      </c>
      <c r="U5" s="53">
        <f>'BEB Purchase Scenario'!V35</f>
        <v>5694964.4653329812</v>
      </c>
      <c r="V5" s="53">
        <f>'BEB Purchase Scenario'!W35</f>
        <v>5817975.6977841742</v>
      </c>
      <c r="W5" s="53">
        <f>'BEB Purchase Scenario'!X35</f>
        <v>5943643.972856313</v>
      </c>
      <c r="X5" s="53">
        <f>'BEB Purchase Scenario'!Y35</f>
        <v>6072026.6826700103</v>
      </c>
      <c r="Y5" s="53">
        <f>'BEB Purchase Scenario'!Z35</f>
        <v>6203182.4590156823</v>
      </c>
      <c r="Z5" s="53">
        <f>'BEB Purchase Scenario'!AA35</f>
        <v>6337171.2001304217</v>
      </c>
      <c r="AA5" s="53">
        <f>'BEB Purchase Scenario'!AB35</f>
        <v>6474054.0980532384</v>
      </c>
      <c r="AB5" s="53">
        <f>'BEB Purchase Scenario'!AC35</f>
        <v>6613893.6665711878</v>
      </c>
      <c r="AC5" s="53">
        <f>'BEB Purchase Scenario'!AD35</f>
        <v>6756753.7697691275</v>
      </c>
      <c r="AD5" s="53">
        <f>'BEB Purchase Scenario'!AE35</f>
        <v>6902699.6511961408</v>
      </c>
      <c r="AE5" s="53">
        <f>'BEB Purchase Scenario'!AF35</f>
        <v>7051797.963661978</v>
      </c>
      <c r="AF5" s="53">
        <f>'BEB Purchase Scenario'!AG35</f>
        <v>7204116.7996770777</v>
      </c>
    </row>
    <row r="6" spans="1:3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c r="B7" t="s">
        <v>148</v>
      </c>
      <c r="C7" s="122">
        <f>'No Purchase Scenario'!D46</f>
        <v>237657.26666622478</v>
      </c>
      <c r="D7" s="122">
        <f>'No Purchase Scenario'!E46</f>
        <v>235874.8371662281</v>
      </c>
      <c r="E7" s="122">
        <f>'No Purchase Scenario'!F46</f>
        <v>234105.7758874814</v>
      </c>
      <c r="F7" s="122">
        <f>'No Purchase Scenario'!G46</f>
        <v>232349.9825683253</v>
      </c>
      <c r="G7" s="122">
        <f>'No Purchase Scenario'!H46</f>
        <v>230607.35769906285</v>
      </c>
      <c r="H7" s="122">
        <f>'No Purchase Scenario'!I46</f>
        <v>228877.80251631991</v>
      </c>
      <c r="I7" s="122">
        <f>'No Purchase Scenario'!J46</f>
        <v>227161.21899744752</v>
      </c>
      <c r="J7" s="122">
        <f>'No Purchase Scenario'!K46</f>
        <v>225457.50985496666</v>
      </c>
      <c r="K7" s="122">
        <f>'No Purchase Scenario'!L46</f>
        <v>223766.57853105443</v>
      </c>
      <c r="L7" s="122">
        <f>'No Purchase Scenario'!M46</f>
        <v>222088.32919207154</v>
      </c>
      <c r="M7" s="122">
        <f>'No Purchase Scenario'!N46</f>
        <v>220422.66672313103</v>
      </c>
      <c r="N7" s="122">
        <f>'No Purchase Scenario'!O46</f>
        <v>218769.49672270755</v>
      </c>
      <c r="O7" s="122">
        <f>'No Purchase Scenario'!P46</f>
        <v>217128.72549728726</v>
      </c>
      <c r="P7" s="122">
        <f>'No Purchase Scenario'!Q46</f>
        <v>215500.2600560576</v>
      </c>
      <c r="Q7" s="122">
        <f>'No Purchase Scenario'!R46</f>
        <v>213884.00810563719</v>
      </c>
      <c r="R7" s="122">
        <f>'No Purchase Scenario'!S46</f>
        <v>212279.8780448449</v>
      </c>
      <c r="S7" s="122">
        <f>'No Purchase Scenario'!T46</f>
        <v>210687.77895950858</v>
      </c>
      <c r="T7" s="122">
        <f>'No Purchase Scenario'!U46</f>
        <v>209107.62061731226</v>
      </c>
      <c r="U7" s="122">
        <f>'No Purchase Scenario'!V46</f>
        <v>207539.31346268245</v>
      </c>
      <c r="V7" s="122">
        <f>'No Purchase Scenario'!W46</f>
        <v>205982.76861171232</v>
      </c>
      <c r="W7" s="122">
        <f>'No Purchase Scenario'!X46</f>
        <v>204437.89784712449</v>
      </c>
      <c r="X7" s="122">
        <f>'No Purchase Scenario'!Y46</f>
        <v>202904.61361327107</v>
      </c>
      <c r="Y7" s="122">
        <f>'No Purchase Scenario'!Z46</f>
        <v>201382.82901117159</v>
      </c>
      <c r="Z7" s="122">
        <f>'No Purchase Scenario'!AA46</f>
        <v>199872.45779358776</v>
      </c>
      <c r="AA7" s="122">
        <f>'No Purchase Scenario'!AB46</f>
        <v>198373.41436013588</v>
      </c>
      <c r="AB7" s="122">
        <f>'No Purchase Scenario'!AC46</f>
        <v>196885.61375243487</v>
      </c>
      <c r="AC7" s="122">
        <f>'No Purchase Scenario'!AD46</f>
        <v>195408.97164929163</v>
      </c>
      <c r="AD7" s="122">
        <f>'No Purchase Scenario'!AE46</f>
        <v>193943.40436192194</v>
      </c>
      <c r="AE7" s="122">
        <f>'No Purchase Scenario'!AF46</f>
        <v>192488.82882920752</v>
      </c>
      <c r="AF7" s="122">
        <f>'No Purchase Scenario'!AG46</f>
        <v>191045.1626129885</v>
      </c>
    </row>
    <row r="8" spans="1:32">
      <c r="B8" t="s">
        <v>150</v>
      </c>
      <c r="C8" s="102">
        <f>'No Purchase Scenario'!D51</f>
        <v>3733255.2039433862</v>
      </c>
      <c r="D8" s="102">
        <f>'No Purchase Scenario'!E51</f>
        <v>3785289.3149759504</v>
      </c>
      <c r="E8" s="102">
        <f>'No Purchase Scenario'!F51</f>
        <v>3838048.6774480855</v>
      </c>
      <c r="F8" s="102">
        <f>'No Purchase Scenario'!G51</f>
        <v>3891543.3999143578</v>
      </c>
      <c r="G8" s="102">
        <f>'No Purchase Scenario'!H51</f>
        <v>3945783.7318223631</v>
      </c>
      <c r="H8" s="102">
        <f>'No Purchase Scenario'!I51</f>
        <v>4000780.0654765046</v>
      </c>
      <c r="I8" s="102">
        <f>'No Purchase Scenario'!J51</f>
        <v>4056542.938029117</v>
      </c>
      <c r="J8" s="102">
        <f>'No Purchase Scenario'!K51</f>
        <v>4113083.0334993666</v>
      </c>
      <c r="K8" s="102">
        <f>'No Purchase Scenario'!L51</f>
        <v>4170411.1848202813</v>
      </c>
      <c r="L8" s="102">
        <f>'No Purchase Scenario'!M51</f>
        <v>4228538.3759143064</v>
      </c>
      <c r="M8" s="102">
        <f>'No Purchase Scenario'!N51</f>
        <v>4287475.7437978024</v>
      </c>
      <c r="N8" s="102">
        <f>'No Purchase Scenario'!O51</f>
        <v>4347234.5807148553</v>
      </c>
      <c r="O8" s="102">
        <f>'No Purchase Scenario'!P51</f>
        <v>4407826.3363008602</v>
      </c>
      <c r="P8" s="102">
        <f>'No Purchase Scenario'!Q51</f>
        <v>4469262.6197762219</v>
      </c>
      <c r="Q8" s="102">
        <f>'No Purchase Scenario'!R51</f>
        <v>4531555.2021706626</v>
      </c>
      <c r="R8" s="102">
        <f>'No Purchase Scenario'!S51</f>
        <v>4594716.0185785173</v>
      </c>
      <c r="S8" s="102">
        <f>'No Purchase Scenario'!T51</f>
        <v>4658757.1704454655</v>
      </c>
      <c r="T8" s="102">
        <f>'No Purchase Scenario'!U51</f>
        <v>4723690.9278871343</v>
      </c>
      <c r="U8" s="102">
        <f>'No Purchase Scenario'!V51</f>
        <v>4789529.7320400272</v>
      </c>
      <c r="V8" s="102">
        <f>'No Purchase Scenario'!W51</f>
        <v>4856286.1974452008</v>
      </c>
      <c r="W8" s="102">
        <f>'No Purchase Scenario'!X51</f>
        <v>4923973.114465192</v>
      </c>
      <c r="X8" s="102">
        <f>'No Purchase Scenario'!Y51</f>
        <v>4992603.451734609</v>
      </c>
      <c r="Y8" s="102">
        <f>'No Purchase Scenario'!Z51</f>
        <v>5062190.3586448878</v>
      </c>
      <c r="Z8" s="102">
        <f>'No Purchase Scenario'!AA51</f>
        <v>5132747.1678636791</v>
      </c>
      <c r="AA8" s="102">
        <f>'No Purchase Scenario'!AB51</f>
        <v>5204287.3978893645</v>
      </c>
      <c r="AB8" s="102">
        <f>'No Purchase Scenario'!AC51</f>
        <v>5276824.7556411466</v>
      </c>
      <c r="AC8" s="102">
        <f>'No Purchase Scenario'!AD51</f>
        <v>5350373.1390852742</v>
      </c>
      <c r="AD8" s="102">
        <f>'No Purchase Scenario'!AE51</f>
        <v>5424946.6398978448</v>
      </c>
      <c r="AE8" s="102">
        <f>'No Purchase Scenario'!AF51</f>
        <v>5500559.5461647417</v>
      </c>
      <c r="AF8" s="102">
        <f>'No Purchase Scenario'!AG51</f>
        <v>5577226.3451191867</v>
      </c>
    </row>
    <row r="9" spans="1:32">
      <c r="B9" s="3" t="s">
        <v>151</v>
      </c>
      <c r="C9" s="2">
        <f>(C8-C5)*-1</f>
        <v>143202.96623404371</v>
      </c>
      <c r="D9" s="2">
        <f t="shared" ref="D9:AF9" si="0">(D8-D5)*-1</f>
        <v>174900.35167731205</v>
      </c>
      <c r="E9" s="2">
        <f t="shared" si="0"/>
        <v>207681.08600488771</v>
      </c>
      <c r="F9" s="2">
        <f t="shared" si="0"/>
        <v>241574.12642920017</v>
      </c>
      <c r="G9" s="2">
        <f t="shared" si="0"/>
        <v>276609.13309021574</v>
      </c>
      <c r="H9" s="2">
        <f t="shared" si="0"/>
        <v>312816.48531818623</v>
      </c>
      <c r="I9" s="2">
        <f t="shared" si="0"/>
        <v>350227.29826274049</v>
      </c>
      <c r="J9" s="2">
        <f t="shared" si="0"/>
        <v>388873.4398963945</v>
      </c>
      <c r="K9" s="2">
        <f t="shared" si="0"/>
        <v>428787.54840082768</v>
      </c>
      <c r="L9" s="2">
        <f t="shared" si="0"/>
        <v>470003.04994437937</v>
      </c>
      <c r="M9" s="2">
        <f t="shared" si="0"/>
        <v>512554.1768594319</v>
      </c>
      <c r="N9" s="2">
        <f t="shared" si="0"/>
        <v>556475.986228575</v>
      </c>
      <c r="O9" s="2">
        <f t="shared" si="0"/>
        <v>601804.37888854928</v>
      </c>
      <c r="P9" s="2">
        <f t="shared" si="0"/>
        <v>648576.11886127945</v>
      </c>
      <c r="Q9" s="2">
        <f t="shared" si="0"/>
        <v>696828.85322140902</v>
      </c>
      <c r="R9" s="2">
        <f t="shared" si="0"/>
        <v>746601.13241002243</v>
      </c>
      <c r="S9" s="2">
        <f t="shared" si="0"/>
        <v>797932.43100442737</v>
      </c>
      <c r="T9" s="2">
        <f t="shared" si="0"/>
        <v>850863.16895407625</v>
      </c>
      <c r="U9" s="2">
        <f t="shared" si="0"/>
        <v>905434.73329295404</v>
      </c>
      <c r="V9" s="2">
        <f t="shared" si="0"/>
        <v>961689.50033897348</v>
      </c>
      <c r="W9" s="2">
        <f t="shared" si="0"/>
        <v>1019670.858391121</v>
      </c>
      <c r="X9" s="2">
        <f t="shared" si="0"/>
        <v>1079423.2309354013</v>
      </c>
      <c r="Y9" s="2">
        <f t="shared" si="0"/>
        <v>1140992.1003707945</v>
      </c>
      <c r="Z9" s="2">
        <f t="shared" si="0"/>
        <v>1204424.0322667425</v>
      </c>
      <c r="AA9" s="2">
        <f t="shared" si="0"/>
        <v>1269766.7001638738</v>
      </c>
      <c r="AB9" s="2">
        <f t="shared" si="0"/>
        <v>1337068.9109300412</v>
      </c>
      <c r="AC9" s="2">
        <f t="shared" si="0"/>
        <v>1406380.6306838533</v>
      </c>
      <c r="AD9" s="2">
        <f t="shared" si="0"/>
        <v>1477753.011298296</v>
      </c>
      <c r="AE9" s="2">
        <f t="shared" si="0"/>
        <v>1551238.4174972363</v>
      </c>
      <c r="AF9" s="2">
        <f t="shared" si="0"/>
        <v>1626890.454557891</v>
      </c>
    </row>
    <row r="11" spans="1:32">
      <c r="A11" s="38" t="s">
        <v>88</v>
      </c>
      <c r="B11" s="41">
        <v>0.03</v>
      </c>
      <c r="C11" s="25">
        <f>'BEB Purchase Scenario'!D45</f>
        <v>1.1592740742999998</v>
      </c>
      <c r="D11" s="25">
        <f>'BEB Purchase Scenario'!E45</f>
        <v>1.1940522965289999</v>
      </c>
      <c r="E11" s="25">
        <f>'BEB Purchase Scenario'!F45</f>
        <v>1.22987386542487</v>
      </c>
      <c r="F11" s="25">
        <f>'BEB Purchase Scenario'!G45</f>
        <v>1.2667700813876159</v>
      </c>
      <c r="G11" s="25">
        <f>'BEB Purchase Scenario'!H45</f>
        <v>1.3047731838292445</v>
      </c>
      <c r="H11" s="25">
        <f>'BEB Purchase Scenario'!I45</f>
        <v>1.3439163793441218</v>
      </c>
      <c r="I11" s="25">
        <f>'BEB Purchase Scenario'!J45</f>
        <v>1.3842338707244455</v>
      </c>
      <c r="J11" s="25">
        <f>'BEB Purchase Scenario'!K45</f>
        <v>1.4257608868461786</v>
      </c>
      <c r="K11" s="25">
        <f>'BEB Purchase Scenario'!L45</f>
        <v>1.4685337134515639</v>
      </c>
      <c r="L11" s="25">
        <f>'BEB Purchase Scenario'!M45</f>
        <v>1.512589724855111</v>
      </c>
      <c r="M11" s="25">
        <f>'BEB Purchase Scenario'!N45</f>
        <v>1.5579674166007644</v>
      </c>
      <c r="N11" s="25">
        <f>'BEB Purchase Scenario'!O45</f>
        <v>1.6047064390987871</v>
      </c>
      <c r="O11" s="25">
        <f>'BEB Purchase Scenario'!P45</f>
        <v>1.6528476322717507</v>
      </c>
      <c r="P11" s="25">
        <f>'BEB Purchase Scenario'!Q45</f>
        <v>1.7024330612399032</v>
      </c>
      <c r="Q11" s="25">
        <f>'BEB Purchase Scenario'!R45</f>
        <v>1.7535060530771003</v>
      </c>
      <c r="R11" s="25">
        <f>'BEB Purchase Scenario'!S45</f>
        <v>1.8061112346694133</v>
      </c>
      <c r="S11" s="25">
        <f>'BEB Purchase Scenario'!T45</f>
        <v>1.8602945717094954</v>
      </c>
      <c r="T11" s="25">
        <f>'BEB Purchase Scenario'!U45</f>
        <v>1.9161034088607805</v>
      </c>
      <c r="U11" s="25">
        <f>'BEB Purchase Scenario'!V45</f>
        <v>1.973586511126604</v>
      </c>
      <c r="V11" s="25">
        <f>'BEB Purchase Scenario'!W45</f>
        <v>2.0327941064604018</v>
      </c>
      <c r="W11" s="25">
        <f>'BEB Purchase Scenario'!X45</f>
        <v>2.0937779296542138</v>
      </c>
      <c r="X11" s="25">
        <f>'BEB Purchase Scenario'!Y45</f>
        <v>2.1565912675438406</v>
      </c>
      <c r="Y11" s="25">
        <f>'BEB Purchase Scenario'!Z45</f>
        <v>2.2212890055701555</v>
      </c>
      <c r="Z11" s="25">
        <f>'BEB Purchase Scenario'!AA45</f>
        <v>2.2879276757372602</v>
      </c>
      <c r="AA11" s="25">
        <f>'BEB Purchase Scenario'!AB45</f>
        <v>2.3565655060093778</v>
      </c>
      <c r="AB11" s="25">
        <f>'BEB Purchase Scenario'!AC45</f>
        <v>2.4272624711896591</v>
      </c>
      <c r="AC11" s="25">
        <f>'BEB Purchase Scenario'!AD45</f>
        <v>2.5000803453253493</v>
      </c>
      <c r="AD11" s="25">
        <f>'BEB Purchase Scenario'!AE45</f>
        <v>2.5750827556851092</v>
      </c>
      <c r="AE11" s="25">
        <f>'BEB Purchase Scenario'!AF45</f>
        <v>2.6523352383556626</v>
      </c>
      <c r="AF11" s="25">
        <f>'BEB Purchase Scenario'!AG45</f>
        <v>2.7319052955063321</v>
      </c>
    </row>
    <row r="12" spans="1:32">
      <c r="A12" s="38" t="s">
        <v>89</v>
      </c>
      <c r="B12" s="43"/>
      <c r="C12" s="2">
        <f>C9/C11</f>
        <v>123528.13662335493</v>
      </c>
      <c r="D12" s="2">
        <f t="shared" ref="D12:AF12" si="1">D9/D11</f>
        <v>146476.29101818343</v>
      </c>
      <c r="E12" s="2">
        <f t="shared" si="1"/>
        <v>168863.72809714318</v>
      </c>
      <c r="F12" s="2">
        <f t="shared" si="1"/>
        <v>190700.84617453284</v>
      </c>
      <c r="G12" s="2">
        <f t="shared" si="1"/>
        <v>211997.86791940656</v>
      </c>
      <c r="H12" s="2">
        <f t="shared" si="1"/>
        <v>232764.84320464314</v>
      </c>
      <c r="I12" s="2">
        <f t="shared" si="1"/>
        <v>253011.65191070447</v>
      </c>
      <c r="J12" s="2">
        <f t="shared" si="1"/>
        <v>272748.00668476254</v>
      </c>
      <c r="K12" s="2">
        <f t="shared" si="1"/>
        <v>291983.45565593324</v>
      </c>
      <c r="L12" s="2">
        <f t="shared" si="1"/>
        <v>310727.38510728703</v>
      </c>
      <c r="M12" s="2">
        <f t="shared" si="1"/>
        <v>328989.02210531663</v>
      </c>
      <c r="N12" s="2">
        <f t="shared" si="1"/>
        <v>346777.43708755559</v>
      </c>
      <c r="O12" s="2">
        <f t="shared" si="1"/>
        <v>364101.54640897014</v>
      </c>
      <c r="P12" s="2">
        <f t="shared" si="1"/>
        <v>380970.1148478128</v>
      </c>
      <c r="Q12" s="2">
        <f t="shared" si="1"/>
        <v>397391.75807154743</v>
      </c>
      <c r="R12" s="2">
        <f t="shared" si="1"/>
        <v>413374.94506349089</v>
      </c>
      <c r="S12" s="2">
        <f t="shared" si="1"/>
        <v>428928.00051078841</v>
      </c>
      <c r="T12" s="2">
        <f t="shared" si="1"/>
        <v>444059.10715432477</v>
      </c>
      <c r="U12" s="2">
        <f t="shared" si="1"/>
        <v>458776.30810118117</v>
      </c>
      <c r="V12" s="2">
        <f t="shared" si="1"/>
        <v>473087.50910022715</v>
      </c>
      <c r="W12" s="2">
        <f t="shared" si="1"/>
        <v>487000.48078141653</v>
      </c>
      <c r="X12" s="2">
        <f t="shared" si="1"/>
        <v>500522.86085938074</v>
      </c>
      <c r="Y12" s="2">
        <f t="shared" si="1"/>
        <v>513662.15630186634</v>
      </c>
      <c r="Z12" s="2">
        <f t="shared" si="1"/>
        <v>526425.74546357978</v>
      </c>
      <c r="AA12" s="2">
        <f t="shared" si="1"/>
        <v>538820.8801859722</v>
      </c>
      <c r="AB12" s="2">
        <f t="shared" si="1"/>
        <v>550854.68786353047</v>
      </c>
      <c r="AC12" s="2">
        <f t="shared" si="1"/>
        <v>562534.1734770661</v>
      </c>
      <c r="AD12" s="2">
        <f t="shared" si="1"/>
        <v>573866.2215945503</v>
      </c>
      <c r="AE12" s="2">
        <f t="shared" si="1"/>
        <v>584857.598339997</v>
      </c>
      <c r="AF12" s="2">
        <f t="shared" si="1"/>
        <v>595514.95333089971</v>
      </c>
    </row>
    <row r="13" spans="1:32">
      <c r="A13" s="40"/>
      <c r="B13" s="40"/>
    </row>
    <row r="14" spans="1:32">
      <c r="A14" s="40" t="s">
        <v>88</v>
      </c>
      <c r="B14" s="41">
        <v>7.0000000000000007E-2</v>
      </c>
      <c r="C14" s="25">
        <f>'BEB Purchase Scenario'!D48</f>
        <v>1.4025517307000002</v>
      </c>
      <c r="D14" s="25">
        <f>'BEB Purchase Scenario'!E48</f>
        <v>1.5007303518490001</v>
      </c>
      <c r="E14" s="25">
        <f>'BEB Purchase Scenario'!F48</f>
        <v>1.6057814764784302</v>
      </c>
      <c r="F14" s="25">
        <f>'BEB Purchase Scenario'!G48</f>
        <v>1.7181861798319202</v>
      </c>
      <c r="G14" s="25">
        <f>'BEB Purchase Scenario'!H48</f>
        <v>1.8384592124201549</v>
      </c>
      <c r="H14" s="25">
        <f>'BEB Purchase Scenario'!I48</f>
        <v>1.9671513572895656</v>
      </c>
      <c r="I14" s="25">
        <f>'BEB Purchase Scenario'!J48</f>
        <v>2.1048519522998355</v>
      </c>
      <c r="J14" s="25">
        <f>'BEB Purchase Scenario'!K48</f>
        <v>2.2521915889608235</v>
      </c>
      <c r="K14" s="25">
        <f>'BEB Purchase Scenario'!L48</f>
        <v>2.4098450001880813</v>
      </c>
      <c r="L14" s="25">
        <f>'BEB Purchase Scenario'!M48</f>
        <v>2.5785341502012469</v>
      </c>
      <c r="M14" s="25">
        <f>'BEB Purchase Scenario'!N48</f>
        <v>2.7590315407153345</v>
      </c>
      <c r="N14" s="25">
        <f>'BEB Purchase Scenario'!O48</f>
        <v>2.9521637485654075</v>
      </c>
      <c r="O14" s="25">
        <f>'BEB Purchase Scenario'!P48</f>
        <v>3.1588152109649861</v>
      </c>
      <c r="P14" s="25">
        <f>'BEB Purchase Scenario'!Q48</f>
        <v>3.3799322757325352</v>
      </c>
      <c r="Q14" s="25">
        <f>'BEB Purchase Scenario'!R48</f>
        <v>3.6165275350338129</v>
      </c>
      <c r="R14" s="25">
        <f>'BEB Purchase Scenario'!S48</f>
        <v>3.8696844624861795</v>
      </c>
      <c r="S14" s="25">
        <f>'BEB Purchase Scenario'!T48</f>
        <v>4.1405623748602123</v>
      </c>
      <c r="T14" s="25">
        <f>'BEB Purchase Scenario'!U48</f>
        <v>4.4304017411004271</v>
      </c>
      <c r="U14" s="25">
        <f>'BEB Purchase Scenario'!V48</f>
        <v>4.740529862977457</v>
      </c>
      <c r="V14" s="25">
        <f>'BEB Purchase Scenario'!W48</f>
        <v>5.0723669533858793</v>
      </c>
      <c r="W14" s="25">
        <f>'BEB Purchase Scenario'!X48</f>
        <v>5.4274326401228912</v>
      </c>
      <c r="X14" s="25">
        <f>'BEB Purchase Scenario'!Y48</f>
        <v>5.807352924931493</v>
      </c>
      <c r="Y14" s="25">
        <f>'BEB Purchase Scenario'!Z48</f>
        <v>6.2138676296766988</v>
      </c>
      <c r="Z14" s="25">
        <f>'BEB Purchase Scenario'!AA48</f>
        <v>6.6488383637540664</v>
      </c>
      <c r="AA14" s="25">
        <f>'BEB Purchase Scenario'!AB48</f>
        <v>7.1142570492168513</v>
      </c>
      <c r="AB14" s="25">
        <f>'BEB Purchase Scenario'!AC48</f>
        <v>7.6122550426620306</v>
      </c>
      <c r="AC14" s="25">
        <f>'BEB Purchase Scenario'!AD48</f>
        <v>8.1451128956483743</v>
      </c>
      <c r="AD14" s="25">
        <f>'BEB Purchase Scenario'!AE48</f>
        <v>8.7152707983437594</v>
      </c>
      <c r="AE14" s="25">
        <f>'BEB Purchase Scenario'!AF48</f>
        <v>9.3253397542278229</v>
      </c>
      <c r="AF14" s="25">
        <f>'BEB Purchase Scenario'!AG48</f>
        <v>9.9781135370237699</v>
      </c>
    </row>
    <row r="15" spans="1:32">
      <c r="A15" s="40" t="s">
        <v>90</v>
      </c>
      <c r="B15" s="40"/>
      <c r="C15" s="2">
        <f>C9/C14</f>
        <v>102101.73578593959</v>
      </c>
      <c r="D15" s="2">
        <f t="shared" ref="D15:AF15" si="2">D9/D14</f>
        <v>116543.48928295022</v>
      </c>
      <c r="E15" s="2">
        <f t="shared" si="2"/>
        <v>129333.34270385539</v>
      </c>
      <c r="F15" s="2">
        <f t="shared" si="2"/>
        <v>140598.34100914019</v>
      </c>
      <c r="G15" s="2">
        <f t="shared" si="2"/>
        <v>150457.04099471774</v>
      </c>
      <c r="H15" s="2">
        <f t="shared" si="2"/>
        <v>159020.03887957032</v>
      </c>
      <c r="I15" s="2">
        <f t="shared" si="2"/>
        <v>166390.46650291476</v>
      </c>
      <c r="J15" s="2">
        <f t="shared" si="2"/>
        <v>172664.45794508242</v>
      </c>
      <c r="K15" s="2">
        <f t="shared" si="2"/>
        <v>177931.58828362907</v>
      </c>
      <c r="L15" s="2">
        <f t="shared" si="2"/>
        <v>182275.28609915715</v>
      </c>
      <c r="M15" s="2">
        <f t="shared" si="2"/>
        <v>185773.22125376714</v>
      </c>
      <c r="N15" s="2">
        <f t="shared" si="2"/>
        <v>188497.66937860148</v>
      </c>
      <c r="O15" s="2">
        <f t="shared" si="2"/>
        <v>190515.85442527488</v>
      </c>
      <c r="P15" s="2">
        <f t="shared" si="2"/>
        <v>191890.27055896056</v>
      </c>
      <c r="Q15" s="2">
        <f t="shared" si="2"/>
        <v>192678.98459810676</v>
      </c>
      <c r="R15" s="2">
        <f t="shared" si="2"/>
        <v>192935.92013710315</v>
      </c>
      <c r="S15" s="2">
        <f t="shared" si="2"/>
        <v>192711.12442337401</v>
      </c>
      <c r="T15" s="2">
        <f t="shared" si="2"/>
        <v>192051.01899917953</v>
      </c>
      <c r="U15" s="2">
        <f t="shared" si="2"/>
        <v>190998.63506065201</v>
      </c>
      <c r="V15" s="2">
        <f t="shared" si="2"/>
        <v>189593.83443207547</v>
      </c>
      <c r="W15" s="2">
        <f t="shared" si="2"/>
        <v>187873.51700196008</v>
      </c>
      <c r="X15" s="2">
        <f t="shared" si="2"/>
        <v>185871.81541892167</v>
      </c>
      <c r="Y15" s="2">
        <f t="shared" si="2"/>
        <v>183620.27779953839</v>
      </c>
      <c r="Z15" s="2">
        <f t="shared" si="2"/>
        <v>181148.03915712892</v>
      </c>
      <c r="AA15" s="2">
        <f t="shared" si="2"/>
        <v>178481.98221958423</v>
      </c>
      <c r="AB15" s="2">
        <f t="shared" si="2"/>
        <v>175646.88826590654</v>
      </c>
      <c r="AC15" s="2">
        <f t="shared" si="2"/>
        <v>172665.57857475852</v>
      </c>
      <c r="AD15" s="2">
        <f t="shared" si="2"/>
        <v>169559.04704408342</v>
      </c>
      <c r="AE15" s="2">
        <f t="shared" si="2"/>
        <v>166346.58450851106</v>
      </c>
      <c r="AF15" s="2">
        <f t="shared" si="2"/>
        <v>163045.89525077233</v>
      </c>
    </row>
    <row r="18" spans="1:3">
      <c r="A18" t="s">
        <v>91</v>
      </c>
      <c r="B18" t="s">
        <v>92</v>
      </c>
      <c r="C18" s="2">
        <f>SUM(C12:AF12)</f>
        <v>11673317.719045429</v>
      </c>
    </row>
    <row r="19" spans="1:3">
      <c r="B19" t="s">
        <v>93</v>
      </c>
      <c r="C19" s="2">
        <f>SUM(C15:AF15)</f>
        <v>5169221.9459952172</v>
      </c>
    </row>
    <row r="20" spans="1:3">
      <c r="B20" t="s">
        <v>94</v>
      </c>
      <c r="C20" s="2">
        <f>SUM(C9:AF9)</f>
        <v>23387044.312413141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9"/>
  </sheetPr>
  <dimension ref="A1:AG54"/>
  <sheetViews>
    <sheetView workbookViewId="0">
      <selection activeCell="C3" sqref="C3:AG3"/>
    </sheetView>
  </sheetViews>
  <sheetFormatPr defaultRowHeight="15"/>
  <cols>
    <col min="1" max="1" width="22.5703125" bestFit="1" customWidth="1"/>
    <col min="2" max="2" width="51.28515625" bestFit="1" customWidth="1"/>
    <col min="3" max="3" width="11.5703125" customWidth="1"/>
    <col min="4" max="4" width="13.28515625" customWidth="1"/>
    <col min="5" max="27" width="11.140625" bestFit="1" customWidth="1"/>
    <col min="28" max="33" width="12.140625" bestFit="1" customWidth="1"/>
  </cols>
  <sheetData>
    <row r="1" spans="1:33">
      <c r="A1" s="162" t="s">
        <v>152</v>
      </c>
      <c r="B1" s="162"/>
    </row>
    <row r="2" spans="1:33">
      <c r="A2" s="19"/>
      <c r="B2" s="18"/>
    </row>
    <row r="3" spans="1:33">
      <c r="B3" s="3" t="s">
        <v>153</v>
      </c>
      <c r="C3" s="6">
        <v>2027</v>
      </c>
      <c r="D3" s="6">
        <v>2028</v>
      </c>
      <c r="E3" s="6">
        <v>2029</v>
      </c>
      <c r="F3" s="6">
        <v>2030</v>
      </c>
      <c r="G3" s="6">
        <v>2031</v>
      </c>
      <c r="H3" s="6">
        <v>2032</v>
      </c>
      <c r="I3" s="6">
        <v>2033</v>
      </c>
      <c r="J3" s="6">
        <v>2034</v>
      </c>
      <c r="K3" s="6">
        <v>2035</v>
      </c>
      <c r="L3" s="6">
        <v>2036</v>
      </c>
      <c r="M3" s="6">
        <v>2037</v>
      </c>
      <c r="N3" s="6">
        <v>2038</v>
      </c>
      <c r="O3" s="6">
        <v>2039</v>
      </c>
      <c r="P3" s="6">
        <v>2040</v>
      </c>
      <c r="Q3" s="6">
        <v>2041</v>
      </c>
      <c r="R3" s="6">
        <v>2042</v>
      </c>
      <c r="S3" s="6">
        <v>2043</v>
      </c>
      <c r="T3" s="6">
        <v>2044</v>
      </c>
      <c r="U3" s="6">
        <v>2045</v>
      </c>
      <c r="V3" s="6">
        <v>2046</v>
      </c>
      <c r="W3" s="6">
        <v>2047</v>
      </c>
      <c r="X3" s="6">
        <v>2048</v>
      </c>
      <c r="Y3" s="6">
        <v>2049</v>
      </c>
      <c r="Z3" s="6">
        <v>2050</v>
      </c>
      <c r="AA3" s="6">
        <v>2051</v>
      </c>
      <c r="AB3" s="6">
        <v>2052</v>
      </c>
      <c r="AC3" s="6">
        <v>2053</v>
      </c>
      <c r="AD3" s="6">
        <v>2054</v>
      </c>
      <c r="AE3" s="6">
        <v>2055</v>
      </c>
      <c r="AF3" s="6">
        <v>2056</v>
      </c>
      <c r="AG3" s="6">
        <v>2057</v>
      </c>
    </row>
    <row r="4" spans="1:33" s="10" customFormat="1">
      <c r="B4" s="10" t="s">
        <v>154</v>
      </c>
      <c r="C4" s="72">
        <f>(1+'Costs and Assumptions'!$C$12)^(C3-'Costs and Assumptions'!$G$14)</f>
        <v>1.0892398884622339</v>
      </c>
      <c r="D4" s="72">
        <f>(1+'Costs and Assumptions'!$C$12)^(D3-'Costs and Assumptions'!$G$14)</f>
        <v>1.1127674700530181</v>
      </c>
      <c r="E4" s="72">
        <f>(1+'Costs and Assumptions'!$C$12)^(E3-'Costs and Assumptions'!$G$14)</f>
        <v>1.1368032474061633</v>
      </c>
      <c r="F4" s="72">
        <f>(1+'Costs and Assumptions'!$C$12)^(F3-'Costs and Assumptions'!$G$14)</f>
        <v>1.1613581975501366</v>
      </c>
      <c r="G4" s="72">
        <f>(1+'Costs and Assumptions'!$C$12)^(G3-'Costs and Assumptions'!$G$14)</f>
        <v>1.1864435346172197</v>
      </c>
      <c r="H4" s="72">
        <f>(1+'Costs and Assumptions'!$C$12)^(H3-'Costs and Assumptions'!$G$14)</f>
        <v>1.2120707149649517</v>
      </c>
      <c r="I4" s="72">
        <f>(1+'Costs and Assumptions'!$C$12)^(I3-'Costs and Assumptions'!$G$14)</f>
        <v>1.2382514424081947</v>
      </c>
      <c r="J4" s="72">
        <f>(1+'Costs and Assumptions'!$C$12)^(J3-'Costs and Assumptions'!$G$14)</f>
        <v>1.2649976735642119</v>
      </c>
      <c r="K4" s="72">
        <f>(1+'Costs and Assumptions'!$C$12)^(K3-'Costs and Assumptions'!$G$14)</f>
        <v>1.2923216233131989</v>
      </c>
      <c r="L4" s="72">
        <f>(1+'Costs and Assumptions'!$C$12)^(L3-'Costs and Assumptions'!$G$14)</f>
        <v>1.320235770376764</v>
      </c>
      <c r="M4" s="72">
        <f>(1+'Costs and Assumptions'!$C$12)^(M3-'Costs and Assumptions'!$G$14)</f>
        <v>1.3487528630169021</v>
      </c>
      <c r="N4" s="72">
        <f>(1+'Costs and Assumptions'!$C$12)^(N3-'Costs and Assumptions'!$G$14)</f>
        <v>1.3778859248580675</v>
      </c>
      <c r="O4" s="72">
        <f>(1+'Costs and Assumptions'!$C$12)^(O3-'Costs and Assumptions'!$G$14)</f>
        <v>1.4076482608350018</v>
      </c>
      <c r="P4" s="72">
        <f>(1+'Costs and Assumptions'!$C$12)^(P3-'Costs and Assumptions'!$G$14)</f>
        <v>1.438053463269038</v>
      </c>
      <c r="Q4" s="72">
        <f>(1+'Costs and Assumptions'!$C$12)^(Q3-'Costs and Assumptions'!$G$14)</f>
        <v>1.4691154180756494</v>
      </c>
      <c r="R4" s="72">
        <f>(1+'Costs and Assumptions'!$C$12)^(R3-'Costs and Assumptions'!$G$14)</f>
        <v>1.5008483111060833</v>
      </c>
      <c r="S4" s="72">
        <f>(1+'Costs and Assumptions'!$C$12)^(S3-'Costs and Assumptions'!$G$14)</f>
        <v>1.5332666346259749</v>
      </c>
      <c r="T4" s="72">
        <f>(1+'Costs and Assumptions'!$C$12)^(T3-'Costs and Assumptions'!$G$14)</f>
        <v>1.566385193933896</v>
      </c>
      <c r="U4" s="72">
        <f>(1+'Costs and Assumptions'!$C$12)^(U3-'Costs and Assumptions'!$G$14)</f>
        <v>1.6002191141228681</v>
      </c>
      <c r="V4" s="72">
        <f>(1+'Costs and Assumptions'!$C$12)^(V3-'Costs and Assumptions'!$G$14)</f>
        <v>1.6347838469879223</v>
      </c>
      <c r="W4" s="72">
        <f>(1+'Costs and Assumptions'!$C$12)^(W3-'Costs and Assumptions'!$G$14)</f>
        <v>1.6700951780828617</v>
      </c>
      <c r="X4" s="72">
        <f>(1+'Costs and Assumptions'!$C$12)^(X3-'Costs and Assumptions'!$G$14)</f>
        <v>1.7061692339294514</v>
      </c>
      <c r="Y4" s="72">
        <f>(1+'Costs and Assumptions'!$C$12)^(Y3-'Costs and Assumptions'!$G$14)</f>
        <v>1.7430224893823278</v>
      </c>
      <c r="Z4" s="72">
        <f>(1+'Costs and Assumptions'!$C$12)^(Z3-'Costs and Assumptions'!$G$14)</f>
        <v>1.7806717751529861</v>
      </c>
      <c r="AA4" s="72">
        <f>(1+'Costs and Assumptions'!$C$12)^(AA3-'Costs and Assumptions'!$G$14)</f>
        <v>1.8191342854962909</v>
      </c>
      <c r="AB4" s="72">
        <f>(1+'Costs and Assumptions'!$C$12)^(AB3-'Costs and Assumptions'!$G$14)</f>
        <v>1.8584275860630106</v>
      </c>
      <c r="AC4" s="72">
        <f>(1+'Costs and Assumptions'!$C$12)^(AC3-'Costs and Assumptions'!$G$14)</f>
        <v>1.8985696219219717</v>
      </c>
      <c r="AD4" s="72">
        <f>(1+'Costs and Assumptions'!$C$12)^(AD3-'Costs and Assumptions'!$G$14)</f>
        <v>1.9395787257554866</v>
      </c>
      <c r="AE4" s="72">
        <f>(1+'Costs and Assumptions'!$C$12)^(AE3-'Costs and Assumptions'!$G$14)</f>
        <v>1.9814736262318053</v>
      </c>
      <c r="AF4" s="72">
        <f>(1+'Costs and Assumptions'!$C$12)^(AF3-'Costs and Assumptions'!$G$14)</f>
        <v>2.0242734565584124</v>
      </c>
      <c r="AG4" s="72">
        <f>(1+'Costs and Assumptions'!$C$12)^(AG3-'Costs and Assumptions'!$G$14)</f>
        <v>2.0679977632200743</v>
      </c>
    </row>
    <row r="5" spans="1:33" s="10" customFormat="1">
      <c r="B5" s="10" t="s">
        <v>155</v>
      </c>
      <c r="C5" s="27">
        <f>'Costs and Assumptions'!$C$4</f>
        <v>24</v>
      </c>
      <c r="D5" s="27">
        <f>'Costs and Assumptions'!$C$4</f>
        <v>24</v>
      </c>
      <c r="E5" s="27">
        <f>'Costs and Assumptions'!$C$4</f>
        <v>24</v>
      </c>
      <c r="F5" s="27">
        <f>'Costs and Assumptions'!$C$4</f>
        <v>24</v>
      </c>
      <c r="G5" s="27">
        <f>'Costs and Assumptions'!$C$4</f>
        <v>24</v>
      </c>
      <c r="H5" s="27">
        <f>'Costs and Assumptions'!$C$4</f>
        <v>24</v>
      </c>
      <c r="I5" s="27">
        <f>'Costs and Assumptions'!$C$4</f>
        <v>24</v>
      </c>
      <c r="J5" s="27">
        <f>'Costs and Assumptions'!$C$4</f>
        <v>24</v>
      </c>
      <c r="K5" s="27">
        <f>'Costs and Assumptions'!$C$4</f>
        <v>24</v>
      </c>
      <c r="L5" s="27">
        <f>'Costs and Assumptions'!$C$4</f>
        <v>24</v>
      </c>
      <c r="M5" s="27">
        <f>'Costs and Assumptions'!$C$4</f>
        <v>24</v>
      </c>
      <c r="N5" s="27">
        <f>'Costs and Assumptions'!$C$4</f>
        <v>24</v>
      </c>
      <c r="O5" s="27">
        <f>'Costs and Assumptions'!$C$4</f>
        <v>24</v>
      </c>
      <c r="P5" s="27">
        <f>'Costs and Assumptions'!$C$4</f>
        <v>24</v>
      </c>
      <c r="Q5" s="27">
        <f>'Costs and Assumptions'!$C$4</f>
        <v>24</v>
      </c>
      <c r="R5" s="27">
        <f>'Costs and Assumptions'!$C$4</f>
        <v>24</v>
      </c>
      <c r="S5" s="27">
        <f>'Costs and Assumptions'!$C$4</f>
        <v>24</v>
      </c>
      <c r="T5" s="27">
        <f>'Costs and Assumptions'!$C$4</f>
        <v>24</v>
      </c>
      <c r="U5" s="27">
        <f>'Costs and Assumptions'!$C$4</f>
        <v>24</v>
      </c>
      <c r="V5" s="27">
        <f>'Costs and Assumptions'!$C$4</f>
        <v>24</v>
      </c>
      <c r="W5" s="27">
        <f>'Costs and Assumptions'!$C$4</f>
        <v>24</v>
      </c>
      <c r="X5" s="27">
        <f>'Costs and Assumptions'!$C$4</f>
        <v>24</v>
      </c>
      <c r="Y5" s="27">
        <f>'Costs and Assumptions'!$C$4</f>
        <v>24</v>
      </c>
      <c r="Z5" s="27">
        <f>'Costs and Assumptions'!$C$4</f>
        <v>24</v>
      </c>
      <c r="AA5" s="27">
        <f>'Costs and Assumptions'!$C$4</f>
        <v>24</v>
      </c>
      <c r="AB5" s="27">
        <f>'Costs and Assumptions'!$C$4</f>
        <v>24</v>
      </c>
      <c r="AC5" s="27">
        <f>'Costs and Assumptions'!$C$4</f>
        <v>24</v>
      </c>
      <c r="AD5" s="27">
        <f>'Costs and Assumptions'!$C$4</f>
        <v>24</v>
      </c>
      <c r="AE5" s="27">
        <f>'Costs and Assumptions'!$C$4</f>
        <v>24</v>
      </c>
      <c r="AF5" s="27">
        <f>'Costs and Assumptions'!$C$4</f>
        <v>24</v>
      </c>
      <c r="AG5" s="27">
        <f>'Costs and Assumptions'!$C$4</f>
        <v>24</v>
      </c>
    </row>
    <row r="6" spans="1:33" s="10" customFormat="1">
      <c r="B6" s="10" t="s">
        <v>156</v>
      </c>
      <c r="C6" s="27">
        <v>8</v>
      </c>
      <c r="D6" s="27">
        <v>8</v>
      </c>
      <c r="E6" s="27">
        <v>8</v>
      </c>
      <c r="F6" s="27">
        <v>8</v>
      </c>
      <c r="G6" s="27">
        <v>8</v>
      </c>
      <c r="H6" s="27">
        <v>8</v>
      </c>
      <c r="I6" s="27">
        <v>8</v>
      </c>
      <c r="J6" s="27">
        <v>8</v>
      </c>
      <c r="K6" s="27">
        <v>8</v>
      </c>
      <c r="L6" s="27">
        <v>8</v>
      </c>
      <c r="M6" s="27">
        <v>8</v>
      </c>
      <c r="N6" s="27">
        <v>8</v>
      </c>
      <c r="O6" s="27">
        <v>8</v>
      </c>
      <c r="P6" s="27">
        <v>8</v>
      </c>
      <c r="Q6" s="27">
        <v>8</v>
      </c>
      <c r="R6" s="27">
        <v>8</v>
      </c>
      <c r="S6" s="27">
        <v>8</v>
      </c>
      <c r="T6" s="27">
        <v>8</v>
      </c>
      <c r="U6" s="27">
        <v>8</v>
      </c>
      <c r="V6" s="27">
        <v>8</v>
      </c>
      <c r="W6" s="27">
        <v>8</v>
      </c>
      <c r="X6" s="27">
        <v>8</v>
      </c>
      <c r="Y6" s="27">
        <v>8</v>
      </c>
      <c r="Z6" s="27">
        <v>8</v>
      </c>
      <c r="AA6" s="27">
        <v>8</v>
      </c>
      <c r="AB6" s="27">
        <v>8</v>
      </c>
      <c r="AC6" s="27">
        <v>8</v>
      </c>
      <c r="AD6" s="27">
        <v>8</v>
      </c>
      <c r="AE6" s="27">
        <v>8</v>
      </c>
      <c r="AF6" s="27">
        <v>8</v>
      </c>
      <c r="AG6" s="27">
        <v>8</v>
      </c>
    </row>
    <row r="7" spans="1:33">
      <c r="B7" s="3"/>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s="8" customFormat="1" ht="15" customHeight="1">
      <c r="A8" s="110" t="s">
        <v>157</v>
      </c>
      <c r="B8" s="8" t="s">
        <v>158</v>
      </c>
      <c r="C8" s="20">
        <f>(1+'Costs and Assumptions'!$C$22)^(C3-'Costs and Assumptions'!$G$14)</f>
        <v>1.08243216</v>
      </c>
      <c r="D8" s="20">
        <f>(1+'Costs and Assumptions'!$C$22)^(D3-'Costs and Assumptions'!$G$14)</f>
        <v>1.1040808032</v>
      </c>
      <c r="E8" s="20">
        <f>(1+'Costs and Assumptions'!$C$22)^(E3-'Costs and Assumptions'!$G$14)</f>
        <v>1.1261624192640001</v>
      </c>
      <c r="F8" s="20">
        <f>(1+'Costs and Assumptions'!$C$22)^(F3-'Costs and Assumptions'!$G$14)</f>
        <v>1.1486856676492798</v>
      </c>
      <c r="G8" s="20">
        <f>(1+'Costs and Assumptions'!$C$22)^(G3-'Costs and Assumptions'!$G$14)</f>
        <v>1.1716593810022655</v>
      </c>
      <c r="H8" s="20">
        <f>(1+'Costs and Assumptions'!$C$22)^(H3-'Costs and Assumptions'!$G$14)</f>
        <v>1.1950925686223108</v>
      </c>
      <c r="I8" s="20">
        <f>(1+'Costs and Assumptions'!$C$22)^(I3-'Costs and Assumptions'!$G$14)</f>
        <v>1.2189944199947571</v>
      </c>
      <c r="J8" s="20">
        <f>(1+'Costs and Assumptions'!$C$22)^(J3-'Costs and Assumptions'!$G$14)</f>
        <v>1.243374308394652</v>
      </c>
      <c r="K8" s="20">
        <f>(1+'Costs and Assumptions'!$C$22)^(K3-'Costs and Assumptions'!$G$14)</f>
        <v>1.2682417945625453</v>
      </c>
      <c r="L8" s="20">
        <f>(1+'Costs and Assumptions'!$C$22)^(L3-'Costs and Assumptions'!$G$14)</f>
        <v>1.2936066304537961</v>
      </c>
      <c r="M8" s="20">
        <f>(1+'Costs and Assumptions'!$C$22)^(M3-'Costs and Assumptions'!$G$14)</f>
        <v>1.3194787630628722</v>
      </c>
      <c r="N8" s="20">
        <f>(1+'Costs and Assumptions'!$C$22)^(N3-'Costs and Assumptions'!$G$14)</f>
        <v>1.3458683383241292</v>
      </c>
      <c r="O8" s="20">
        <f>(1+'Costs and Assumptions'!$C$22)^(O3-'Costs and Assumptions'!$G$14)</f>
        <v>1.372785705090612</v>
      </c>
      <c r="P8" s="20">
        <f>(1+'Costs and Assumptions'!$C$22)^(P3-'Costs and Assumptions'!$G$14)</f>
        <v>1.4002414191924244</v>
      </c>
      <c r="Q8" s="20">
        <f>(1+'Costs and Assumptions'!$C$22)^(Q3-'Costs and Assumptions'!$G$14)</f>
        <v>1.4282462475762727</v>
      </c>
      <c r="R8" s="20">
        <f>(1+'Costs and Assumptions'!$C$22)^(R3-'Costs and Assumptions'!$G$14)</f>
        <v>1.4568111725277981</v>
      </c>
      <c r="S8" s="20">
        <f>(1+'Costs and Assumptions'!$C$22)^(S3-'Costs and Assumptions'!$G$14)</f>
        <v>1.4859473959783542</v>
      </c>
      <c r="T8" s="20">
        <f>(1+'Costs and Assumptions'!$C$22)^(T3-'Costs and Assumptions'!$G$14)</f>
        <v>1.5156663438979212</v>
      </c>
      <c r="U8" s="20">
        <f>(1+'Costs and Assumptions'!$C$22)^(U3-'Costs and Assumptions'!$G$14)</f>
        <v>1.5459796707758797</v>
      </c>
      <c r="V8" s="20">
        <f>(1+'Costs and Assumptions'!$C$22)^(V3-'Costs and Assumptions'!$G$14)</f>
        <v>1.576899264191397</v>
      </c>
      <c r="W8" s="20">
        <f>(1+'Costs and Assumptions'!$C$22)^(W3-'Costs and Assumptions'!$G$14)</f>
        <v>1.608437249475225</v>
      </c>
      <c r="X8" s="20">
        <f>(1+'Costs and Assumptions'!$C$22)^(X3-'Costs and Assumptions'!$G$14)</f>
        <v>1.6406059944647295</v>
      </c>
      <c r="Y8" s="20">
        <f>(1+'Costs and Assumptions'!$C$22)^(Y3-'Costs and Assumptions'!$G$14)</f>
        <v>1.6734181143540243</v>
      </c>
      <c r="Z8" s="20">
        <f>(1+'Costs and Assumptions'!$C$22)^(Z3-'Costs and Assumptions'!$G$14)</f>
        <v>1.7068864766411045</v>
      </c>
      <c r="AA8" s="20">
        <f>(1+'Costs and Assumptions'!$C$22)^(AA3-'Costs and Assumptions'!$G$14)</f>
        <v>1.7410242061739269</v>
      </c>
      <c r="AB8" s="20">
        <f>(1+'Costs and Assumptions'!$C$22)^(AB3-'Costs and Assumptions'!$G$14)</f>
        <v>1.7758446902974052</v>
      </c>
      <c r="AC8" s="20">
        <f>(1+'Costs and Assumptions'!$C$22)^(AC3-'Costs and Assumptions'!$G$14)</f>
        <v>1.8113615841033535</v>
      </c>
      <c r="AD8" s="20">
        <f>(1+'Costs and Assumptions'!$C$22)^(AD3-'Costs and Assumptions'!$G$14)</f>
        <v>1.8475888157854201</v>
      </c>
      <c r="AE8" s="20">
        <f>(1+'Costs and Assumptions'!$C$22)^(AE3-'Costs and Assumptions'!$G$14)</f>
        <v>1.8845405921011289</v>
      </c>
      <c r="AF8" s="20">
        <f>(1+'Costs and Assumptions'!$C$22)^(AF3-'Costs and Assumptions'!$G$14)</f>
        <v>1.9222314039431516</v>
      </c>
      <c r="AG8" s="20">
        <f>(1+'Costs and Assumptions'!$C$22)^(AG3-'Costs and Assumptions'!$G$14)</f>
        <v>1.9606760320220145</v>
      </c>
    </row>
    <row r="9" spans="1:33" s="8" customFormat="1">
      <c r="A9" s="110"/>
      <c r="B9" s="7" t="s">
        <v>159</v>
      </c>
      <c r="C9" s="9"/>
      <c r="D9" s="51">
        <f>D5*'Costs and Assumptions'!$F$21*D8</f>
        <v>576172.80478098884</v>
      </c>
      <c r="E9" s="51">
        <f>E5*'Costs and Assumptions'!$F$21*E8</f>
        <v>587696.26087660866</v>
      </c>
      <c r="F9" s="51">
        <f>F5*'Costs and Assumptions'!$F$21*F8</f>
        <v>599450.18609414063</v>
      </c>
      <c r="G9" s="51">
        <f>G5*'Costs and Assumptions'!$F$21*G8</f>
        <v>611439.18981602357</v>
      </c>
      <c r="H9" s="51">
        <f>H5*'Costs and Assumptions'!$F$21*H8</f>
        <v>623667.97361234401</v>
      </c>
      <c r="I9" s="51">
        <f>I5*'Costs and Assumptions'!$F$21*I8</f>
        <v>636141.33308459097</v>
      </c>
      <c r="J9" s="51">
        <f>J5*'Costs and Assumptions'!$F$21*J8</f>
        <v>648864.15974628262</v>
      </c>
      <c r="K9" s="51">
        <f>K5*'Costs and Assumptions'!$F$21*K8</f>
        <v>661841.44294120837</v>
      </c>
      <c r="L9" s="51">
        <f>L5*'Costs and Assumptions'!$F$21*L8</f>
        <v>675078.27180003247</v>
      </c>
      <c r="M9" s="51">
        <f>M5*'Costs and Assumptions'!$F$21*M8</f>
        <v>688579.83723603317</v>
      </c>
      <c r="N9" s="51">
        <f>N5*'Costs and Assumptions'!$F$21*N8</f>
        <v>702351.43398075365</v>
      </c>
      <c r="O9" s="51">
        <f>O5*'Costs and Assumptions'!$F$21*O8</f>
        <v>716398.46266036888</v>
      </c>
      <c r="P9" s="51">
        <f>P5*'Costs and Assumptions'!$F$21*P8</f>
        <v>730726.43191357632</v>
      </c>
      <c r="Q9" s="51">
        <f>Q5*'Costs and Assumptions'!$F$21*Q8</f>
        <v>745340.9605518477</v>
      </c>
      <c r="R9" s="51">
        <f>R5*'Costs and Assumptions'!$F$21*R8</f>
        <v>760247.77976288472</v>
      </c>
      <c r="S9" s="51">
        <f>S5*'Costs and Assumptions'!$F$21*S8</f>
        <v>775452.73535814241</v>
      </c>
      <c r="T9" s="51">
        <f>T5*'Costs and Assumptions'!$F$21*T8</f>
        <v>790961.79006530531</v>
      </c>
      <c r="U9" s="51">
        <f>U5*'Costs and Assumptions'!$F$21*U8</f>
        <v>806781.0258666114</v>
      </c>
      <c r="V9" s="51">
        <f>V5*'Costs and Assumptions'!$F$21*V8</f>
        <v>822916.6463839435</v>
      </c>
      <c r="W9" s="51">
        <f>W5*'Costs and Assumptions'!$F$21*W8</f>
        <v>839374.97931162233</v>
      </c>
      <c r="X9" s="51">
        <f>X5*'Costs and Assumptions'!$F$21*X8</f>
        <v>856162.4788978548</v>
      </c>
      <c r="Y9" s="51">
        <f>Y5*'Costs and Assumptions'!$F$21*Y8</f>
        <v>873285.72847581201</v>
      </c>
      <c r="Z9" s="51">
        <f>Z5*'Costs and Assumptions'!$F$21*Z8</f>
        <v>890751.44304532814</v>
      </c>
      <c r="AA9" s="51">
        <f>AA5*'Costs and Assumptions'!$F$21*AA8</f>
        <v>908566.47190623486</v>
      </c>
      <c r="AB9" s="51">
        <f>AB5*'Costs and Assumptions'!$F$21*AB8</f>
        <v>926737.80134435941</v>
      </c>
      <c r="AC9" s="51">
        <f>AC5*'Costs and Assumptions'!$F$21*AC8</f>
        <v>945272.55737124663</v>
      </c>
      <c r="AD9" s="51">
        <f>AD5*'Costs and Assumptions'!$F$21*AD8</f>
        <v>964178.00851867138</v>
      </c>
      <c r="AE9" s="51">
        <f>AE5*'Costs and Assumptions'!$F$21*AE8</f>
        <v>983461.56868904503</v>
      </c>
      <c r="AF9" s="51">
        <f>AF5*'Costs and Assumptions'!$F$21*AF8</f>
        <v>1003130.800062826</v>
      </c>
      <c r="AG9" s="51">
        <f>AG5*'Costs and Assumptions'!$F$21*AG8</f>
        <v>1023193.4160640824</v>
      </c>
    </row>
    <row r="10" spans="1:33" s="8" customFormat="1">
      <c r="A10" s="110"/>
      <c r="B10" s="7" t="s">
        <v>160</v>
      </c>
      <c r="C10" s="20">
        <f>(1+'Costs and Assumptions'!$C$38)^(C3-'Costs and Assumptions'!$G$14)</f>
        <v>1.0040060040009995</v>
      </c>
      <c r="D10" s="20">
        <f>(1+'Costs and Assumptions'!$C$38)^(D3-'Costs and Assumptions'!$G$14)</f>
        <v>1.0050100100050003</v>
      </c>
      <c r="E10" s="20">
        <f>(1+'Costs and Assumptions'!$C$38)^(E3-'Costs and Assumptions'!$G$14)</f>
        <v>1.0060150200150051</v>
      </c>
      <c r="F10" s="20">
        <f>(1+'Costs and Assumptions'!$C$38)^(F3-'Costs and Assumptions'!$G$14)</f>
        <v>1.0070210350350199</v>
      </c>
      <c r="G10" s="20">
        <f>(1+'Costs and Assumptions'!$C$38)^(G3-'Costs and Assumptions'!$G$14)</f>
        <v>1.008028056070055</v>
      </c>
      <c r="H10" s="20">
        <f>(1+'Costs and Assumptions'!$C$38)^(H3-'Costs and Assumptions'!$G$14)</f>
        <v>1.009036084126125</v>
      </c>
      <c r="I10" s="20">
        <f>(1+'Costs and Assumptions'!$C$38)^(I3-'Costs and Assumptions'!$G$14)</f>
        <v>1.0100451202102509</v>
      </c>
      <c r="J10" s="20">
        <f>(1+'Costs and Assumptions'!$C$38)^(J3-'Costs and Assumptions'!$G$14)</f>
        <v>1.0110551653304609</v>
      </c>
      <c r="K10" s="20">
        <f>(1+'Costs and Assumptions'!$C$38)^(K3-'Costs and Assumptions'!$G$14)</f>
        <v>1.0120662204957913</v>
      </c>
      <c r="L10" s="20">
        <f>(1+'Costs and Assumptions'!$C$38)^(L3-'Costs and Assumptions'!$G$14)</f>
        <v>1.0130782867162871</v>
      </c>
      <c r="M10" s="20">
        <f>(1+'Costs and Assumptions'!$C$38)^(M3-'Costs and Assumptions'!$G$14)</f>
        <v>1.014091365003003</v>
      </c>
      <c r="N10" s="20">
        <f>(1+'Costs and Assumptions'!$C$38)^(N3-'Costs and Assumptions'!$G$14)</f>
        <v>1.015105456368006</v>
      </c>
      <c r="O10" s="20">
        <f>(1+'Costs and Assumptions'!$C$38)^(O3-'Costs and Assumptions'!$G$14)</f>
        <v>1.0161205618243738</v>
      </c>
      <c r="P10" s="20">
        <f>(1+'Costs and Assumptions'!$C$38)^(P3-'Costs and Assumptions'!$G$14)</f>
        <v>1.017136682386198</v>
      </c>
      <c r="Q10" s="20">
        <f>(1+'Costs and Assumptions'!$C$38)^(Q3-'Costs and Assumptions'!$G$14)</f>
        <v>1.0181538190685842</v>
      </c>
      <c r="R10" s="20">
        <f>(1+'Costs and Assumptions'!$C$38)^(R3-'Costs and Assumptions'!$G$14)</f>
        <v>1.0191719728876525</v>
      </c>
      <c r="S10" s="20">
        <f>(1+'Costs and Assumptions'!$C$38)^(S3-'Costs and Assumptions'!$G$14)</f>
        <v>1.0201911448605401</v>
      </c>
      <c r="T10" s="20">
        <f>(1+'Costs and Assumptions'!$C$38)^(T3-'Costs and Assumptions'!$G$14)</f>
        <v>1.0212113360054005</v>
      </c>
      <c r="U10" s="20">
        <f>(1+'Costs and Assumptions'!$C$38)^(U3-'Costs and Assumptions'!$G$14)</f>
        <v>1.0222325473414056</v>
      </c>
      <c r="V10" s="20">
        <f>(1+'Costs and Assumptions'!$C$38)^(V3-'Costs and Assumptions'!$G$14)</f>
        <v>1.0232547798887468</v>
      </c>
      <c r="W10" s="20">
        <f>(1+'Costs and Assumptions'!$C$38)^(W3-'Costs and Assumptions'!$G$14)</f>
        <v>1.0242780346686358</v>
      </c>
      <c r="X10" s="20">
        <f>(1+'Costs and Assumptions'!$C$38)^(X3-'Costs and Assumptions'!$G$14)</f>
        <v>1.0253023127033043</v>
      </c>
      <c r="Y10" s="20">
        <f>(1+'Costs and Assumptions'!$C$38)^(Y3-'Costs and Assumptions'!$G$14)</f>
        <v>1.0263276150160074</v>
      </c>
      <c r="Z10" s="20">
        <f>(1+'Costs and Assumptions'!$C$38)^(Z3-'Costs and Assumptions'!$G$14)</f>
        <v>1.0273539426310232</v>
      </c>
      <c r="AA10" s="20">
        <f>(1+'Costs and Assumptions'!$C$38)^(AA3-'Costs and Assumptions'!$G$14)</f>
        <v>1.0283812965736541</v>
      </c>
      <c r="AB10" s="20">
        <f>(1+'Costs and Assumptions'!$C$38)^(AB3-'Costs and Assumptions'!$G$14)</f>
        <v>1.0294096778702277</v>
      </c>
      <c r="AC10" s="20">
        <f>(1+'Costs and Assumptions'!$C$38)^(AC3-'Costs and Assumptions'!$G$14)</f>
        <v>1.0304390875480975</v>
      </c>
      <c r="AD10" s="20">
        <f>(1+'Costs and Assumptions'!$C$38)^(AD3-'Costs and Assumptions'!$G$14)</f>
        <v>1.0314695266356457</v>
      </c>
      <c r="AE10" s="20">
        <f>(1+'Costs and Assumptions'!$C$38)^(AE3-'Costs and Assumptions'!$G$14)</f>
        <v>1.0325009961622811</v>
      </c>
      <c r="AF10" s="20">
        <f>(1+'Costs and Assumptions'!$C$38)^(AF3-'Costs and Assumptions'!$G$14)</f>
        <v>1.0335334971584433</v>
      </c>
      <c r="AG10" s="20">
        <f>(1+'Costs and Assumptions'!$C$38)^(AG3-'Costs and Assumptions'!$G$14)</f>
        <v>1.0345670306556014</v>
      </c>
    </row>
    <row r="11" spans="1:33" s="8" customFormat="1">
      <c r="A11" s="110"/>
      <c r="B11" s="7" t="s">
        <v>161</v>
      </c>
      <c r="C11" s="9"/>
      <c r="D11" s="51">
        <f>D10*'Costs and Assumptions'!$G$37*('BEB Purchase Scenario'!D5/('BEB Purchase Scenario'!D5+'BEB Purchase Scenario'!D6))</f>
        <v>57385.605895839893</v>
      </c>
      <c r="E11" s="51">
        <f>E10*'Costs and Assumptions'!$G$37*('BEB Purchase Scenario'!E5/('BEB Purchase Scenario'!E5+'BEB Purchase Scenario'!E6))</f>
        <v>57442.991501735713</v>
      </c>
      <c r="F11" s="51">
        <f>F10*'Costs and Assumptions'!$G$37*('BEB Purchase Scenario'!F5/('BEB Purchase Scenario'!F5+'BEB Purchase Scenario'!F6))</f>
        <v>57500.434493237437</v>
      </c>
      <c r="G11" s="51">
        <f>G10*'Costs and Assumptions'!$G$37*('BEB Purchase Scenario'!G5/('BEB Purchase Scenario'!G5+'BEB Purchase Scenario'!G6))</f>
        <v>57557.934927730676</v>
      </c>
      <c r="H11" s="51">
        <f>H10*'Costs and Assumptions'!$G$37*('BEB Purchase Scenario'!H5/('BEB Purchase Scenario'!H5+'BEB Purchase Scenario'!H6))</f>
        <v>57615.492862658401</v>
      </c>
      <c r="I11" s="51">
        <f>I10*'Costs and Assumptions'!$G$37*('BEB Purchase Scenario'!I5/('BEB Purchase Scenario'!I5+'BEB Purchase Scenario'!I6))</f>
        <v>57673.10835552105</v>
      </c>
      <c r="J11" s="51">
        <f>J10*'Costs and Assumptions'!$G$37*('BEB Purchase Scenario'!J5/('BEB Purchase Scenario'!J5+'BEB Purchase Scenario'!J6))</f>
        <v>57730.781463876556</v>
      </c>
      <c r="K11" s="51">
        <f>K10*'Costs and Assumptions'!$G$37*('BEB Purchase Scenario'!K5/('BEB Purchase Scenario'!K5+'BEB Purchase Scenario'!K6))</f>
        <v>57788.512245340433</v>
      </c>
      <c r="L11" s="51">
        <f>L10*'Costs and Assumptions'!$G$37*('BEB Purchase Scenario'!L5/('BEB Purchase Scenario'!L5+'BEB Purchase Scenario'!L6))</f>
        <v>57846.300757585777</v>
      </c>
      <c r="M11" s="51">
        <f>M10*'Costs and Assumptions'!$G$37*('BEB Purchase Scenario'!M5/('BEB Purchase Scenario'!M5+'BEB Purchase Scenario'!M6))</f>
        <v>57904.147058343333</v>
      </c>
      <c r="N11" s="51">
        <f>N10*'Costs and Assumptions'!$G$37*('BEB Purchase Scenario'!N5/('BEB Purchase Scenario'!N5+'BEB Purchase Scenario'!N6))</f>
        <v>57962.051205401673</v>
      </c>
      <c r="O11" s="51">
        <f>O10*'Costs and Assumptions'!$G$37*('BEB Purchase Scenario'!O5/('BEB Purchase Scenario'!O5+'BEB Purchase Scenario'!O6))</f>
        <v>58020.013256607068</v>
      </c>
      <c r="P11" s="51">
        <f>P10*'Costs and Assumptions'!$G$37*('BEB Purchase Scenario'!P5/('BEB Purchase Scenario'!P5+'BEB Purchase Scenario'!P6))</f>
        <v>58078.03326986367</v>
      </c>
      <c r="Q11" s="51">
        <f>Q10*'Costs and Assumptions'!$G$37*('BEB Purchase Scenario'!Q5/('BEB Purchase Scenario'!Q5+'BEB Purchase Scenario'!Q6))</f>
        <v>58136.111303133526</v>
      </c>
      <c r="R11" s="51">
        <f>R10*'Costs and Assumptions'!$G$37*('BEB Purchase Scenario'!R5/('BEB Purchase Scenario'!R5+'BEB Purchase Scenario'!R6))</f>
        <v>58194.24741443665</v>
      </c>
      <c r="S11" s="51">
        <f>S10*'Costs and Assumptions'!$G$37*('BEB Purchase Scenario'!S5/('BEB Purchase Scenario'!S5+'BEB Purchase Scenario'!S6))</f>
        <v>58252.441661851088</v>
      </c>
      <c r="T11" s="51">
        <f>T10*'Costs and Assumptions'!$G$37*('BEB Purchase Scenario'!T5/('BEB Purchase Scenario'!T5+'BEB Purchase Scenario'!T6))</f>
        <v>58310.694103512928</v>
      </c>
      <c r="U11" s="51">
        <f>U10*'Costs and Assumptions'!$G$37*('BEB Purchase Scenario'!U5/('BEB Purchase Scenario'!U5+'BEB Purchase Scenario'!U6))</f>
        <v>58369.004797616413</v>
      </c>
      <c r="V11" s="51">
        <f>V10*'Costs and Assumptions'!$G$37*('BEB Purchase Scenario'!V5/('BEB Purchase Scenario'!V5+'BEB Purchase Scenario'!V6))</f>
        <v>58427.373802414018</v>
      </c>
      <c r="W11" s="51">
        <f>W10*'Costs and Assumptions'!$G$37*('BEB Purchase Scenario'!W5/('BEB Purchase Scenario'!W5+'BEB Purchase Scenario'!W6))</f>
        <v>58485.801176216453</v>
      </c>
      <c r="X11" s="51">
        <f>X10*'Costs and Assumptions'!$G$37*('BEB Purchase Scenario'!X5/('BEB Purchase Scenario'!X5+'BEB Purchase Scenario'!X6))</f>
        <v>58544.286977392665</v>
      </c>
      <c r="Y11" s="51">
        <f>Y10*'Costs and Assumptions'!$G$37*('BEB Purchase Scenario'!Y5/('BEB Purchase Scenario'!Y5+'BEB Purchase Scenario'!Y6))</f>
        <v>58602.831264370048</v>
      </c>
      <c r="Z11" s="51">
        <f>Z10*'Costs and Assumptions'!$G$37*('BEB Purchase Scenario'!Z5/('BEB Purchase Scenario'!Z5+'BEB Purchase Scenario'!Z6))</f>
        <v>58661.434095634395</v>
      </c>
      <c r="AA11" s="51">
        <f>AA10*'Costs and Assumptions'!$G$37*('BEB Purchase Scenario'!AA5/('BEB Purchase Scenario'!AA5+'BEB Purchase Scenario'!AA6))</f>
        <v>58720.095529730032</v>
      </c>
      <c r="AB11" s="51">
        <f>AB10*'Costs and Assumptions'!$G$37*('BEB Purchase Scenario'!AB5/('BEB Purchase Scenario'!AB5+'BEB Purchase Scenario'!AB6))</f>
        <v>58778.815625259762</v>
      </c>
      <c r="AC11" s="51">
        <f>AC10*'Costs and Assumptions'!$G$37*('BEB Purchase Scenario'!AC5/('BEB Purchase Scenario'!AC5+'BEB Purchase Scenario'!AC6))</f>
        <v>58837.59444088499</v>
      </c>
      <c r="AD11" s="51">
        <f>AD10*'Costs and Assumptions'!$G$37*('BEB Purchase Scenario'!AD5/('BEB Purchase Scenario'!AD5+'BEB Purchase Scenario'!AD6))</f>
        <v>58896.432035325881</v>
      </c>
      <c r="AE11" s="51">
        <f>AE10*'Costs and Assumptions'!$G$37*('BEB Purchase Scenario'!AE5/('BEB Purchase Scenario'!AE5+'BEB Purchase Scenario'!AE6))</f>
        <v>58955.328467361192</v>
      </c>
      <c r="AF11" s="51">
        <f>AF10*'Costs and Assumptions'!$G$37*('BEB Purchase Scenario'!AF5/('BEB Purchase Scenario'!AF5+'BEB Purchase Scenario'!AF6))</f>
        <v>59014.283795828553</v>
      </c>
      <c r="AG11" s="51">
        <f>AG10*'Costs and Assumptions'!$G$37*('BEB Purchase Scenario'!AG5/('BEB Purchase Scenario'!AG5+'BEB Purchase Scenario'!AG6))</f>
        <v>59073.29807962435</v>
      </c>
    </row>
    <row r="12" spans="1:33" s="55" customFormat="1">
      <c r="A12" s="54"/>
      <c r="B12" s="55" t="s">
        <v>162</v>
      </c>
      <c r="C12" s="56"/>
      <c r="D12" s="57">
        <f t="shared" ref="D12:AG12" si="0">D9+D11</f>
        <v>633558.4106768287</v>
      </c>
      <c r="E12" s="57">
        <f t="shared" si="0"/>
        <v>645139.25237834442</v>
      </c>
      <c r="F12" s="57">
        <f t="shared" si="0"/>
        <v>656950.62058737804</v>
      </c>
      <c r="G12" s="57">
        <f t="shared" si="0"/>
        <v>668997.12474375428</v>
      </c>
      <c r="H12" s="57">
        <f t="shared" si="0"/>
        <v>681283.46647500247</v>
      </c>
      <c r="I12" s="57">
        <f t="shared" si="0"/>
        <v>693814.44144011196</v>
      </c>
      <c r="J12" s="57">
        <f t="shared" si="0"/>
        <v>706594.94121015922</v>
      </c>
      <c r="K12" s="57">
        <f t="shared" si="0"/>
        <v>719629.95518654876</v>
      </c>
      <c r="L12" s="57">
        <f t="shared" si="0"/>
        <v>732924.57255761826</v>
      </c>
      <c r="M12" s="57">
        <f t="shared" si="0"/>
        <v>746483.98429437645</v>
      </c>
      <c r="N12" s="57">
        <f t="shared" si="0"/>
        <v>760313.4851861553</v>
      </c>
      <c r="O12" s="57">
        <f t="shared" si="0"/>
        <v>774418.47591697599</v>
      </c>
      <c r="P12" s="57">
        <f t="shared" si="0"/>
        <v>788804.46518344001</v>
      </c>
      <c r="Q12" s="57">
        <f t="shared" si="0"/>
        <v>803477.07185498124</v>
      </c>
      <c r="R12" s="57">
        <f t="shared" si="0"/>
        <v>818442.02717732138</v>
      </c>
      <c r="S12" s="57">
        <f t="shared" si="0"/>
        <v>833705.17701999354</v>
      </c>
      <c r="T12" s="57">
        <f t="shared" si="0"/>
        <v>849272.48416881822</v>
      </c>
      <c r="U12" s="57">
        <f t="shared" si="0"/>
        <v>865150.03066422779</v>
      </c>
      <c r="V12" s="57">
        <f t="shared" si="0"/>
        <v>881344.02018635755</v>
      </c>
      <c r="W12" s="57">
        <f t="shared" si="0"/>
        <v>897860.78048783878</v>
      </c>
      <c r="X12" s="57">
        <f t="shared" si="0"/>
        <v>914706.76587524742</v>
      </c>
      <c r="Y12" s="57">
        <f t="shared" si="0"/>
        <v>931888.55974018201</v>
      </c>
      <c r="Z12" s="57">
        <f t="shared" si="0"/>
        <v>949412.87714096252</v>
      </c>
      <c r="AA12" s="57">
        <f t="shared" si="0"/>
        <v>967286.56743596494</v>
      </c>
      <c r="AB12" s="57">
        <f t="shared" si="0"/>
        <v>985516.61696961918</v>
      </c>
      <c r="AC12" s="57">
        <f t="shared" si="0"/>
        <v>1004110.1518121316</v>
      </c>
      <c r="AD12" s="57">
        <f t="shared" si="0"/>
        <v>1023074.4405539973</v>
      </c>
      <c r="AE12" s="57">
        <f t="shared" si="0"/>
        <v>1042416.8971564062</v>
      </c>
      <c r="AF12" s="57">
        <f t="shared" si="0"/>
        <v>1062145.0838586546</v>
      </c>
      <c r="AG12" s="57">
        <f t="shared" si="0"/>
        <v>1082266.7141437067</v>
      </c>
    </row>
    <row r="13" spans="1:33" s="55" customFormat="1">
      <c r="A13" s="54"/>
      <c r="C13" s="56"/>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row>
    <row r="14" spans="1:33" s="55" customFormat="1">
      <c r="A14" s="54"/>
      <c r="B14" s="55" t="s">
        <v>163</v>
      </c>
      <c r="C14" s="56"/>
      <c r="D14" s="57"/>
      <c r="E14" s="57"/>
      <c r="F14" s="57"/>
      <c r="G14" s="57"/>
      <c r="H14" s="57"/>
      <c r="I14" s="57"/>
      <c r="J14" s="57"/>
      <c r="K14" s="57"/>
      <c r="L14" s="57"/>
      <c r="M14" s="57"/>
      <c r="N14" s="57"/>
      <c r="O14" s="57"/>
      <c r="P14" s="57"/>
      <c r="Q14" s="57"/>
      <c r="R14" s="57"/>
      <c r="S14" s="57">
        <f>S5*'Costs and Assumptions'!F8</f>
        <v>2040000</v>
      </c>
      <c r="T14" s="57"/>
      <c r="U14" s="57"/>
      <c r="V14" s="57"/>
      <c r="W14" s="57"/>
      <c r="X14" s="57"/>
      <c r="Y14" s="57"/>
      <c r="Z14" s="57">
        <f>S5*'Costs and Assumptions'!F8</f>
        <v>2040000</v>
      </c>
      <c r="AA14" s="57"/>
      <c r="AB14" s="57"/>
      <c r="AC14" s="57"/>
      <c r="AD14" s="57"/>
      <c r="AE14" s="57"/>
      <c r="AF14" s="57"/>
      <c r="AG14" s="57"/>
    </row>
    <row r="15" spans="1:33" s="31" customFormat="1">
      <c r="A15" s="28"/>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row>
    <row r="16" spans="1:33" s="32" customFormat="1" ht="15" customHeight="1">
      <c r="A16" s="163" t="s">
        <v>164</v>
      </c>
      <c r="B16" s="32" t="s">
        <v>165</v>
      </c>
      <c r="C16" s="33">
        <f>(1+'Costs and Assumptions'!$C$18)^(C3-'Costs and Assumptions'!$G$14)</f>
        <v>1.3604889600000003</v>
      </c>
      <c r="D16" s="33">
        <f>(1+'Costs and Assumptions'!$C$18)^(D3-'Costs and Assumptions'!$G$14)</f>
        <v>1.4693280768000003</v>
      </c>
      <c r="E16" s="33">
        <f>(1+'Costs and Assumptions'!$C$18)^(E3-'Costs and Assumptions'!$G$14)</f>
        <v>1.5868743229440005</v>
      </c>
      <c r="F16" s="33">
        <f>(1+'Costs and Assumptions'!$C$18)^(F3-'Costs and Assumptions'!$G$14)</f>
        <v>1.7138242687795207</v>
      </c>
      <c r="G16" s="33">
        <f>(1+'Costs and Assumptions'!$C$18)^(G3-'Costs and Assumptions'!$G$14)</f>
        <v>1.8509302102818823</v>
      </c>
      <c r="H16" s="33">
        <f>(1+'Costs and Assumptions'!$C$18)^(H3-'Costs and Assumptions'!$G$14)</f>
        <v>1.9990046271044331</v>
      </c>
      <c r="I16" s="33">
        <f>(1+'Costs and Assumptions'!$C$18)^(I3-'Costs and Assumptions'!$G$14)</f>
        <v>2.1589249972727877</v>
      </c>
      <c r="J16" s="33">
        <f>(1+'Costs and Assumptions'!$C$18)^(J3-'Costs and Assumptions'!$G$14)</f>
        <v>2.3316389970546108</v>
      </c>
      <c r="K16" s="33">
        <f>(1+'Costs and Assumptions'!$C$18)^(K3-'Costs and Assumptions'!$G$14)</f>
        <v>2.5181701168189798</v>
      </c>
      <c r="L16" s="33">
        <f>(1+'Costs and Assumptions'!$C$18)^(L3-'Costs and Assumptions'!$G$14)</f>
        <v>2.7196237261644982</v>
      </c>
      <c r="M16" s="33">
        <f>(1+'Costs and Assumptions'!$C$18)^(M3-'Costs and Assumptions'!$G$14)</f>
        <v>2.9371936242576586</v>
      </c>
      <c r="N16" s="33">
        <f>(1+'Costs and Assumptions'!$C$18)^(N3-'Costs and Assumptions'!$G$14)</f>
        <v>3.1721691141982715</v>
      </c>
      <c r="O16" s="33">
        <f>(1+'Costs and Assumptions'!$C$18)^(O3-'Costs and Assumptions'!$G$14)</f>
        <v>3.4259426433341331</v>
      </c>
      <c r="P16" s="33">
        <f>(1+'Costs and Assumptions'!$C$18)^(P3-'Costs and Assumptions'!$G$14)</f>
        <v>3.7000180548008639</v>
      </c>
      <c r="Q16" s="33">
        <f>(1+'Costs and Assumptions'!$C$18)^(Q3-'Costs and Assumptions'!$G$14)</f>
        <v>3.9960194991849334</v>
      </c>
      <c r="R16" s="33">
        <f>(1+'Costs and Assumptions'!$C$18)^(R3-'Costs and Assumptions'!$G$14)</f>
        <v>4.3157010591197285</v>
      </c>
      <c r="S16" s="33">
        <f>(1+'Costs and Assumptions'!$C$18)^(S3-'Costs and Assumptions'!$G$14)</f>
        <v>4.6609571438493065</v>
      </c>
      <c r="T16" s="33">
        <f>(1+'Costs and Assumptions'!$C$18)^(T3-'Costs and Assumptions'!$G$14)</f>
        <v>5.0338337153572512</v>
      </c>
      <c r="U16" s="33">
        <f>(1+'Costs and Assumptions'!$C$18)^(U3-'Costs and Assumptions'!$G$14)</f>
        <v>5.4365404125858321</v>
      </c>
      <c r="V16" s="33">
        <f>(1+'Costs and Assumptions'!$C$18)^(V3-'Costs and Assumptions'!$G$14)</f>
        <v>5.8714636455926987</v>
      </c>
      <c r="W16" s="33">
        <f>(1+'Costs and Assumptions'!$C$18)^(W3-'Costs and Assumptions'!$G$14)</f>
        <v>6.3411807372401148</v>
      </c>
      <c r="X16" s="33">
        <f>(1+'Costs and Assumptions'!$C$18)^(X3-'Costs and Assumptions'!$G$14)</f>
        <v>6.8484751962193249</v>
      </c>
      <c r="Y16" s="33">
        <f>(1+'Costs and Assumptions'!$C$18)^(Y3-'Costs and Assumptions'!$G$14)</f>
        <v>7.3963532119168702</v>
      </c>
      <c r="Z16" s="33">
        <f>(1+'Costs and Assumptions'!$C$18)^(Z3-'Costs and Assumptions'!$G$14)</f>
        <v>7.9880614688702201</v>
      </c>
      <c r="AA16" s="33">
        <f>(1+'Costs and Assumptions'!$C$18)^(AA3-'Costs and Assumptions'!$G$14)</f>
        <v>8.6271063863798378</v>
      </c>
      <c r="AB16" s="33">
        <f>(1+'Costs and Assumptions'!$C$18)^(AB3-'Costs and Assumptions'!$G$14)</f>
        <v>9.3172748972902255</v>
      </c>
      <c r="AC16" s="33">
        <f>(1+'Costs and Assumptions'!$C$18)^(AC3-'Costs and Assumptions'!$G$14)</f>
        <v>10.062656889073445</v>
      </c>
      <c r="AD16" s="33">
        <f>(1+'Costs and Assumptions'!$C$18)^(AD3-'Costs and Assumptions'!$G$14)</f>
        <v>10.867669440199322</v>
      </c>
      <c r="AE16" s="33">
        <f>(1+'Costs and Assumptions'!$C$18)^(AE3-'Costs and Assumptions'!$G$14)</f>
        <v>11.737082995415268</v>
      </c>
      <c r="AF16" s="33">
        <f>(1+'Costs and Assumptions'!$C$18)^(AF3-'Costs and Assumptions'!$G$14)</f>
        <v>12.676049635048489</v>
      </c>
      <c r="AG16" s="33">
        <f>(1+'Costs and Assumptions'!$C$18)^(AG3-'Costs and Assumptions'!$G$14)</f>
        <v>13.690133605852369</v>
      </c>
    </row>
    <row r="17" spans="1:33" s="12" customFormat="1">
      <c r="A17" s="164"/>
      <c r="B17" s="11" t="s">
        <v>166</v>
      </c>
      <c r="C17" s="34"/>
      <c r="D17" s="52">
        <f>D6*'Costs and Assumptions'!$F$17*D16</f>
        <v>331410.60197851696</v>
      </c>
      <c r="E17" s="52">
        <f>E6*'Costs and Assumptions'!$F$17*E16</f>
        <v>357923.45013679838</v>
      </c>
      <c r="F17" s="52">
        <f>F6*'Costs and Assumptions'!$F$17*F16</f>
        <v>386557.32614774228</v>
      </c>
      <c r="G17" s="52">
        <f>G6*'Costs and Assumptions'!$F$17*G16</f>
        <v>417481.91223956167</v>
      </c>
      <c r="H17" s="52">
        <f>H6*'Costs and Assumptions'!$F$17*H16</f>
        <v>450880.4652187266</v>
      </c>
      <c r="I17" s="52">
        <f>I6*'Costs and Assumptions'!$F$17*I16</f>
        <v>486950.90243622474</v>
      </c>
      <c r="J17" s="52">
        <f>J6*'Costs and Assumptions'!$F$17*J16</f>
        <v>525906.97463112278</v>
      </c>
      <c r="K17" s="52">
        <f>K6*'Costs and Assumptions'!$F$17*K16</f>
        <v>567979.53260161262</v>
      </c>
      <c r="L17" s="52">
        <f>L6*'Costs and Assumptions'!$F$17*L16</f>
        <v>613417.89520974166</v>
      </c>
      <c r="M17" s="52">
        <f>M6*'Costs and Assumptions'!$F$17*M16</f>
        <v>662491.32682652108</v>
      </c>
      <c r="N17" s="52">
        <f>N6*'Costs and Assumptions'!$F$17*N16</f>
        <v>715490.63297264278</v>
      </c>
      <c r="O17" s="52">
        <f>O6*'Costs and Assumptions'!$F$17*O16</f>
        <v>772729.88361045416</v>
      </c>
      <c r="P17" s="52">
        <f>P6*'Costs and Assumptions'!$F$17*P16</f>
        <v>834548.2742992905</v>
      </c>
      <c r="Q17" s="52">
        <f>Q6*'Costs and Assumptions'!$F$17*Q16</f>
        <v>901312.13624323392</v>
      </c>
      <c r="R17" s="52">
        <f>R6*'Costs and Assumptions'!$F$17*R16</f>
        <v>973417.10714269266</v>
      </c>
      <c r="S17" s="52">
        <f>S6*'Costs and Assumptions'!$F$17*S16</f>
        <v>1051290.475714108</v>
      </c>
      <c r="T17" s="52">
        <f>T6*'Costs and Assumptions'!$F$17*T16</f>
        <v>1135393.7137712368</v>
      </c>
      <c r="U17" s="52">
        <f>U6*'Costs and Assumptions'!$F$17*U16</f>
        <v>1226225.2108729358</v>
      </c>
      <c r="V17" s="52">
        <f>V6*'Costs and Assumptions'!$F$17*V16</f>
        <v>1324323.2277427707</v>
      </c>
      <c r="W17" s="52">
        <f>W6*'Costs and Assumptions'!$F$17*W16</f>
        <v>1430269.0859621924</v>
      </c>
      <c r="X17" s="52">
        <f>X6*'Costs and Assumptions'!$F$17*X16</f>
        <v>1544690.6128391679</v>
      </c>
      <c r="Y17" s="52">
        <f>Y6*'Costs and Assumptions'!$F$17*Y16</f>
        <v>1668265.8618663014</v>
      </c>
      <c r="Z17" s="52">
        <f>Z6*'Costs and Assumptions'!$F$17*Z16</f>
        <v>1801727.1308156054</v>
      </c>
      <c r="AA17" s="52">
        <f>AA6*'Costs and Assumptions'!$F$17*AA16</f>
        <v>1945865.301280854</v>
      </c>
      <c r="AB17" s="52">
        <f>AB6*'Costs and Assumptions'!$F$17*AB16</f>
        <v>2101534.5253833225</v>
      </c>
      <c r="AC17" s="52">
        <f>AC6*'Costs and Assumptions'!$F$17*AC16</f>
        <v>2269657.2874139883</v>
      </c>
      <c r="AD17" s="52">
        <f>AD6*'Costs and Assumptions'!$F$17*AD16</f>
        <v>2451229.8704071078</v>
      </c>
      <c r="AE17" s="52">
        <f>AE6*'Costs and Assumptions'!$F$17*AE16</f>
        <v>2647328.2600396764</v>
      </c>
      <c r="AF17" s="52">
        <f>AF6*'Costs and Assumptions'!$F$17*AF16</f>
        <v>2859114.5208428507</v>
      </c>
      <c r="AG17" s="52">
        <f>AG6*'Costs and Assumptions'!$F$17*AG16</f>
        <v>3087843.6825102787</v>
      </c>
    </row>
    <row r="18" spans="1:33" s="36" customFormat="1">
      <c r="A18" s="164"/>
      <c r="B18" s="35" t="s">
        <v>167</v>
      </c>
      <c r="C18" s="33">
        <f>(1+'Costs and Assumptions'!$C$33)^(C3-'Costs and Assumptions'!$G$14)</f>
        <v>1.0364889225609997</v>
      </c>
      <c r="D18" s="33">
        <f>(1+'Costs and Assumptions'!$C$33)^(D3-'Costs and Assumptions'!$G$14)</f>
        <v>1.0458173228640486</v>
      </c>
      <c r="E18" s="33">
        <f>(1+'Costs and Assumptions'!$C$33)^(E3-'Costs and Assumptions'!$G$14)</f>
        <v>1.055229678769825</v>
      </c>
      <c r="F18" s="33">
        <f>(1+'Costs and Assumptions'!$C$33)^(F3-'Costs and Assumptions'!$G$14)</f>
        <v>1.064726745878753</v>
      </c>
      <c r="G18" s="33">
        <f>(1+'Costs and Assumptions'!$C$33)^(G3-'Costs and Assumptions'!$G$14)</f>
        <v>1.0743092865916619</v>
      </c>
      <c r="H18" s="33">
        <f>(1+'Costs and Assumptions'!$C$33)^(H3-'Costs and Assumptions'!$G$14)</f>
        <v>1.0839780701709867</v>
      </c>
      <c r="I18" s="33">
        <f>(1+'Costs and Assumptions'!$C$33)^(I3-'Costs and Assumptions'!$G$14)</f>
        <v>1.0937338728025254</v>
      </c>
      <c r="J18" s="33">
        <f>(1+'Costs and Assumptions'!$C$33)^(J3-'Costs and Assumptions'!$G$14)</f>
        <v>1.1035774776577481</v>
      </c>
      <c r="K18" s="33">
        <f>(1+'Costs and Assumptions'!$C$33)^(K3-'Costs and Assumptions'!$G$14)</f>
        <v>1.113509674956668</v>
      </c>
      <c r="L18" s="33">
        <f>(1+'Costs and Assumptions'!$C$33)^(L3-'Costs and Assumptions'!$G$14)</f>
        <v>1.1235312620312778</v>
      </c>
      <c r="M18" s="33">
        <f>(1+'Costs and Assumptions'!$C$33)^(M3-'Costs and Assumptions'!$G$14)</f>
        <v>1.1336430433895592</v>
      </c>
      <c r="N18" s="33">
        <f>(1+'Costs and Assumptions'!$C$33)^(N3-'Costs and Assumptions'!$G$14)</f>
        <v>1.143845830780065</v>
      </c>
      <c r="O18" s="33">
        <f>(1+'Costs and Assumptions'!$C$33)^(O3-'Costs and Assumptions'!$G$14)</f>
        <v>1.1541404432570856</v>
      </c>
      <c r="P18" s="33">
        <f>(1+'Costs and Assumptions'!$C$33)^(P3-'Costs and Assumptions'!$G$14)</f>
        <v>1.1645277072463993</v>
      </c>
      <c r="Q18" s="33">
        <f>(1+'Costs and Assumptions'!$C$33)^(Q3-'Costs and Assumptions'!$G$14)</f>
        <v>1.1750084566116168</v>
      </c>
      <c r="R18" s="33">
        <f>(1+'Costs and Assumptions'!$C$33)^(R3-'Costs and Assumptions'!$G$14)</f>
        <v>1.185583532721121</v>
      </c>
      <c r="S18" s="33">
        <f>(1+'Costs and Assumptions'!$C$33)^(S3-'Costs and Assumptions'!$G$14)</f>
        <v>1.1962537845156114</v>
      </c>
      <c r="T18" s="33">
        <f>(1+'Costs and Assumptions'!$C$33)^(T3-'Costs and Assumptions'!$G$14)</f>
        <v>1.2070200685762518</v>
      </c>
      <c r="U18" s="33">
        <f>(1+'Costs and Assumptions'!$C$33)^(U3-'Costs and Assumptions'!$G$14)</f>
        <v>1.2178832491934379</v>
      </c>
      <c r="V18" s="33">
        <f>(1+'Costs and Assumptions'!$C$33)^(V3-'Costs and Assumptions'!$G$14)</f>
        <v>1.2288441984361784</v>
      </c>
      <c r="W18" s="33">
        <f>(1+'Costs and Assumptions'!$C$33)^(W3-'Costs and Assumptions'!$G$14)</f>
        <v>1.2399037962221042</v>
      </c>
      <c r="X18" s="33">
        <f>(1+'Costs and Assumptions'!$C$33)^(X3-'Costs and Assumptions'!$G$14)</f>
        <v>1.2510629303881029</v>
      </c>
      <c r="Y18" s="33">
        <f>(1+'Costs and Assumptions'!$C$33)^(Y3-'Costs and Assumptions'!$G$14)</f>
        <v>1.2623224967615956</v>
      </c>
      <c r="Z18" s="33">
        <f>(1+'Costs and Assumptions'!$C$33)^(Z3-'Costs and Assumptions'!$G$14)</f>
        <v>1.2736833992324499</v>
      </c>
      <c r="AA18" s="33">
        <f>(1+'Costs and Assumptions'!$C$33)^(AA3-'Costs and Assumptions'!$G$14)</f>
        <v>1.2851465498255421</v>
      </c>
      <c r="AB18" s="33">
        <f>(1+'Costs and Assumptions'!$C$33)^(AB3-'Costs and Assumptions'!$G$14)</f>
        <v>1.296712868773972</v>
      </c>
      <c r="AC18" s="33">
        <f>(1+'Costs and Assumptions'!$C$33)^(AC3-'Costs and Assumptions'!$G$14)</f>
        <v>1.3083832845929375</v>
      </c>
      <c r="AD18" s="33">
        <f>(1+'Costs and Assumptions'!$C$33)^(AD3-'Costs and Assumptions'!$G$14)</f>
        <v>1.3201587341542735</v>
      </c>
      <c r="AE18" s="33">
        <f>(1+'Costs and Assumptions'!$C$33)^(AE3-'Costs and Assumptions'!$G$14)</f>
        <v>1.332040162761662</v>
      </c>
      <c r="AF18" s="33">
        <f>(1+'Costs and Assumptions'!$C$33)^(AF3-'Costs and Assumptions'!$G$14)</f>
        <v>1.3440285242265169</v>
      </c>
      <c r="AG18" s="33">
        <f>(1+'Costs and Assumptions'!$C$33)^(AG3-'Costs and Assumptions'!$G$14)</f>
        <v>1.3561247809445554</v>
      </c>
    </row>
    <row r="19" spans="1:33" s="36" customFormat="1">
      <c r="A19" s="165"/>
      <c r="B19" s="35" t="s">
        <v>168</v>
      </c>
      <c r="C19" s="34"/>
      <c r="D19" s="52">
        <f>D18*'Costs and Assumptions'!$G$31*(D6/('BEB Purchase Scenario'!D5+'BEB Purchase Scenario'!D6))</f>
        <v>59796.091596210783</v>
      </c>
      <c r="E19" s="52">
        <f>E18*'Costs and Assumptions'!$G$31*(E6/('BEB Purchase Scenario'!E5+'BEB Purchase Scenario'!E6))</f>
        <v>60334.256420576676</v>
      </c>
      <c r="F19" s="52">
        <f>F18*'Costs and Assumptions'!$G$31*(F6/('BEB Purchase Scenario'!F5+'BEB Purchase Scenario'!F6))</f>
        <v>60877.264728361843</v>
      </c>
      <c r="G19" s="52">
        <f>G18*'Costs and Assumptions'!$G$31*(G6/('BEB Purchase Scenario'!G5+'BEB Purchase Scenario'!G6))</f>
        <v>61425.160110917102</v>
      </c>
      <c r="H19" s="52">
        <f>H18*'Costs and Assumptions'!$G$31*(H6/('BEB Purchase Scenario'!H5+'BEB Purchase Scenario'!H6))</f>
        <v>61977.986551915346</v>
      </c>
      <c r="I19" s="52">
        <f>I18*'Costs and Assumptions'!$G$31*(I6/('BEB Purchase Scenario'!I5+'BEB Purchase Scenario'!I6))</f>
        <v>62535.788430882581</v>
      </c>
      <c r="J19" s="52">
        <f>J18*'Costs and Assumptions'!$G$31*(J6/('BEB Purchase Scenario'!J5+'BEB Purchase Scenario'!J6))</f>
        <v>63098.610526760516</v>
      </c>
      <c r="K19" s="52">
        <f>K18*'Costs and Assumptions'!$G$31*(K6/('BEB Purchase Scenario'!K5+'BEB Purchase Scenario'!K6))</f>
        <v>63666.498021501371</v>
      </c>
      <c r="L19" s="52">
        <f>L18*'Costs and Assumptions'!$G$31*(L6/('BEB Purchase Scenario'!L5+'BEB Purchase Scenario'!L6))</f>
        <v>64239.496503694878</v>
      </c>
      <c r="M19" s="52">
        <f>M18*'Costs and Assumptions'!$G$31*(M6/('BEB Purchase Scenario'!M5+'BEB Purchase Scenario'!M6))</f>
        <v>64817.651972228123</v>
      </c>
      <c r="N19" s="52">
        <f>N18*'Costs and Assumptions'!$G$31*(N6/('BEB Purchase Scenario'!N5+'BEB Purchase Scenario'!N6))</f>
        <v>65401.01083997816</v>
      </c>
      <c r="O19" s="52">
        <f>O18*'Costs and Assumptions'!$G$31*(O6/('BEB Purchase Scenario'!O5+'BEB Purchase Scenario'!O6))</f>
        <v>65989.619937537966</v>
      </c>
      <c r="P19" s="52">
        <f>P18*'Costs and Assumptions'!$G$31*(P6/('BEB Purchase Scenario'!P5+'BEB Purchase Scenario'!P6))</f>
        <v>66583.526516975806</v>
      </c>
      <c r="Q19" s="52">
        <f>Q18*'Costs and Assumptions'!$G$31*(Q6/('BEB Purchase Scenario'!Q5+'BEB Purchase Scenario'!Q6))</f>
        <v>67182.778255628582</v>
      </c>
      <c r="R19" s="52">
        <f>R18*'Costs and Assumptions'!$G$31*(R6/('BEB Purchase Scenario'!R5+'BEB Purchase Scenario'!R6))</f>
        <v>67787.423259929215</v>
      </c>
      <c r="S19" s="52">
        <f>S18*'Costs and Assumptions'!$G$31*(S6/('BEB Purchase Scenario'!S5+'BEB Purchase Scenario'!S6))</f>
        <v>68397.510069268596</v>
      </c>
      <c r="T19" s="52">
        <f>T18*'Costs and Assumptions'!$G$31*(T6/('BEB Purchase Scenario'!T5+'BEB Purchase Scenario'!T6))</f>
        <v>69013.087659892</v>
      </c>
      <c r="U19" s="52">
        <f>U18*'Costs and Assumptions'!$G$31*(U6/('BEB Purchase Scenario'!U5+'BEB Purchase Scenario'!U6))</f>
        <v>69634.205448831024</v>
      </c>
      <c r="V19" s="52">
        <f>V18*'Costs and Assumptions'!$G$31*(V6/('BEB Purchase Scenario'!V5+'BEB Purchase Scenario'!V6))</f>
        <v>70260.913297870487</v>
      </c>
      <c r="W19" s="52">
        <f>W18*'Costs and Assumptions'!$G$31*(W6/('BEB Purchase Scenario'!W5+'BEB Purchase Scenario'!W6))</f>
        <v>70893.261517551335</v>
      </c>
      <c r="X19" s="52">
        <f>X18*'Costs and Assumptions'!$G$31*(X6/('BEB Purchase Scenario'!X5+'BEB Purchase Scenario'!X6))</f>
        <v>71531.300871209271</v>
      </c>
      <c r="Y19" s="52">
        <f>Y18*'Costs and Assumptions'!$G$31*(Y6/('BEB Purchase Scenario'!Y5+'BEB Purchase Scenario'!Y6))</f>
        <v>72175.08257905014</v>
      </c>
      <c r="Z19" s="52">
        <f>Z18*'Costs and Assumptions'!$G$31*(Z6/('BEB Purchase Scenario'!Z5+'BEB Purchase Scenario'!Z6))</f>
        <v>72824.658322261588</v>
      </c>
      <c r="AA19" s="52">
        <f>AA18*'Costs and Assumptions'!$G$31*(AA6/('BEB Purchase Scenario'!AA5+'BEB Purchase Scenario'!AA6))</f>
        <v>73480.080247161954</v>
      </c>
      <c r="AB19" s="52">
        <f>AB18*'Costs and Assumptions'!$G$31*(AB6/('BEB Purchase Scenario'!AB5+'BEB Purchase Scenario'!AB6))</f>
        <v>74141.400969386406</v>
      </c>
      <c r="AC19" s="52">
        <f>AC18*'Costs and Assumptions'!$G$31*(AC6/('BEB Purchase Scenario'!AC5+'BEB Purchase Scenario'!AC6))</f>
        <v>74808.673578110873</v>
      </c>
      <c r="AD19" s="52">
        <f>AD18*'Costs and Assumptions'!$G$31*(AD6/('BEB Purchase Scenario'!AD5+'BEB Purchase Scenario'!AD6))</f>
        <v>75481.951640313855</v>
      </c>
      <c r="AE19" s="52">
        <f>AE18*'Costs and Assumptions'!$G$31*(AE6/('BEB Purchase Scenario'!AE5+'BEB Purchase Scenario'!AE6))</f>
        <v>76161.289205076682</v>
      </c>
      <c r="AF19" s="52">
        <f>AF18*'Costs and Assumptions'!$G$31*(AF6/('BEB Purchase Scenario'!AF5+'BEB Purchase Scenario'!AF6))</f>
        <v>76846.740807922368</v>
      </c>
      <c r="AG19" s="52">
        <f>AG18*'Costs and Assumptions'!$G$31*(AG6/('BEB Purchase Scenario'!AG5+'BEB Purchase Scenario'!AG6))</f>
        <v>77538.361475193655</v>
      </c>
    </row>
    <row r="20" spans="1:33" s="59" customFormat="1">
      <c r="A20" s="58"/>
      <c r="B20" s="59" t="s">
        <v>169</v>
      </c>
      <c r="C20" s="60">
        <f t="shared" ref="C20:AG20" si="1">C17+C19</f>
        <v>0</v>
      </c>
      <c r="D20" s="61">
        <f t="shared" si="1"/>
        <v>391206.69357472775</v>
      </c>
      <c r="E20" s="61">
        <f t="shared" si="1"/>
        <v>418257.70655737503</v>
      </c>
      <c r="F20" s="61">
        <f t="shared" si="1"/>
        <v>447434.59087610414</v>
      </c>
      <c r="G20" s="61">
        <f t="shared" si="1"/>
        <v>478907.07235047879</v>
      </c>
      <c r="H20" s="61">
        <f t="shared" si="1"/>
        <v>512858.45177064196</v>
      </c>
      <c r="I20" s="61">
        <f t="shared" si="1"/>
        <v>549486.69086710736</v>
      </c>
      <c r="J20" s="61">
        <f t="shared" si="1"/>
        <v>589005.58515788335</v>
      </c>
      <c r="K20" s="61">
        <f t="shared" si="1"/>
        <v>631646.03062311397</v>
      </c>
      <c r="L20" s="61">
        <f t="shared" si="1"/>
        <v>677657.39171343658</v>
      </c>
      <c r="M20" s="61">
        <f t="shared" si="1"/>
        <v>727308.97879874916</v>
      </c>
      <c r="N20" s="61">
        <f t="shared" si="1"/>
        <v>780891.6438126209</v>
      </c>
      <c r="O20" s="61">
        <f t="shared" si="1"/>
        <v>838719.50354799209</v>
      </c>
      <c r="P20" s="61">
        <f t="shared" si="1"/>
        <v>901131.80081626633</v>
      </c>
      <c r="Q20" s="61">
        <f t="shared" si="1"/>
        <v>968494.91449886246</v>
      </c>
      <c r="R20" s="61">
        <f t="shared" si="1"/>
        <v>1041204.5304026218</v>
      </c>
      <c r="S20" s="61">
        <f t="shared" si="1"/>
        <v>1119687.9857833765</v>
      </c>
      <c r="T20" s="61">
        <f t="shared" si="1"/>
        <v>1204406.8014311288</v>
      </c>
      <c r="U20" s="61">
        <f t="shared" si="1"/>
        <v>1295859.4163217668</v>
      </c>
      <c r="V20" s="61">
        <f t="shared" si="1"/>
        <v>1394584.1410406411</v>
      </c>
      <c r="W20" s="61">
        <f t="shared" si="1"/>
        <v>1501162.3474797437</v>
      </c>
      <c r="X20" s="61">
        <f t="shared" si="1"/>
        <v>1616221.9137103772</v>
      </c>
      <c r="Y20" s="61">
        <f t="shared" si="1"/>
        <v>1740440.9444453516</v>
      </c>
      <c r="Z20" s="61">
        <f t="shared" si="1"/>
        <v>1874551.789137867</v>
      </c>
      <c r="AA20" s="61">
        <f t="shared" si="1"/>
        <v>2019345.3815280159</v>
      </c>
      <c r="AB20" s="61">
        <f t="shared" si="1"/>
        <v>2175675.9263527091</v>
      </c>
      <c r="AC20" s="61">
        <f t="shared" si="1"/>
        <v>2344465.9609920993</v>
      </c>
      <c r="AD20" s="61">
        <f t="shared" si="1"/>
        <v>2526711.8220474217</v>
      </c>
      <c r="AE20" s="61">
        <f t="shared" si="1"/>
        <v>2723489.5492447531</v>
      </c>
      <c r="AF20" s="61">
        <f t="shared" si="1"/>
        <v>2935961.2616507732</v>
      </c>
      <c r="AG20" s="61">
        <f t="shared" si="1"/>
        <v>3165382.0439854725</v>
      </c>
    </row>
    <row r="21" spans="1:33" s="40" customFormat="1">
      <c r="A21" s="37"/>
      <c r="B21" s="38"/>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1:33" s="63" customFormat="1">
      <c r="A22" s="62"/>
      <c r="B22" s="63" t="s">
        <v>170</v>
      </c>
      <c r="C22" s="64"/>
      <c r="D22" s="65">
        <f>D20+D12</f>
        <v>1024765.1042515564</v>
      </c>
      <c r="E22" s="65">
        <f t="shared" ref="E22:AG22" si="2">E20+E12</f>
        <v>1063396.9589357194</v>
      </c>
      <c r="F22" s="65">
        <f t="shared" si="2"/>
        <v>1104385.2114634821</v>
      </c>
      <c r="G22" s="65">
        <f t="shared" si="2"/>
        <v>1147904.197094233</v>
      </c>
      <c r="H22" s="65">
        <f t="shared" si="2"/>
        <v>1194141.9182456443</v>
      </c>
      <c r="I22" s="65">
        <f t="shared" si="2"/>
        <v>1243301.1323072193</v>
      </c>
      <c r="J22" s="65">
        <f t="shared" si="2"/>
        <v>1295600.5263680425</v>
      </c>
      <c r="K22" s="65">
        <f t="shared" si="2"/>
        <v>1351275.9858096628</v>
      </c>
      <c r="L22" s="65">
        <f t="shared" si="2"/>
        <v>1410581.9642710548</v>
      </c>
      <c r="M22" s="65">
        <f t="shared" si="2"/>
        <v>1473792.9630931257</v>
      </c>
      <c r="N22" s="65">
        <f t="shared" si="2"/>
        <v>1541205.1289987762</v>
      </c>
      <c r="O22" s="65">
        <f t="shared" si="2"/>
        <v>1613137.9794649682</v>
      </c>
      <c r="P22" s="65">
        <f t="shared" si="2"/>
        <v>1689936.2659997065</v>
      </c>
      <c r="Q22" s="65">
        <f t="shared" si="2"/>
        <v>1771971.9863538437</v>
      </c>
      <c r="R22" s="65">
        <f t="shared" si="2"/>
        <v>1859646.5575799432</v>
      </c>
      <c r="S22" s="65">
        <f t="shared" si="2"/>
        <v>1953393.16280337</v>
      </c>
      <c r="T22" s="65">
        <f t="shared" si="2"/>
        <v>2053679.285599947</v>
      </c>
      <c r="U22" s="65">
        <f t="shared" si="2"/>
        <v>2161009.4469859945</v>
      </c>
      <c r="V22" s="65">
        <f t="shared" si="2"/>
        <v>2275928.1612269985</v>
      </c>
      <c r="W22" s="65">
        <f t="shared" si="2"/>
        <v>2399023.1279675825</v>
      </c>
      <c r="X22" s="65">
        <f t="shared" si="2"/>
        <v>2530928.6795856245</v>
      </c>
      <c r="Y22" s="65">
        <f t="shared" si="2"/>
        <v>2672329.5041855336</v>
      </c>
      <c r="Z22" s="65">
        <f t="shared" si="2"/>
        <v>2823964.6662788298</v>
      </c>
      <c r="AA22" s="65">
        <f t="shared" si="2"/>
        <v>2986631.9489639811</v>
      </c>
      <c r="AB22" s="65">
        <f t="shared" si="2"/>
        <v>3161192.5433223285</v>
      </c>
      <c r="AC22" s="65">
        <f t="shared" si="2"/>
        <v>3348576.1128042308</v>
      </c>
      <c r="AD22" s="65">
        <f t="shared" si="2"/>
        <v>3549786.2626014189</v>
      </c>
      <c r="AE22" s="65">
        <f t="shared" si="2"/>
        <v>3765906.4464011593</v>
      </c>
      <c r="AF22" s="65">
        <f t="shared" si="2"/>
        <v>3998106.3455094276</v>
      </c>
      <c r="AG22" s="65">
        <f t="shared" si="2"/>
        <v>4247648.7581291795</v>
      </c>
    </row>
    <row r="23" spans="1:33" s="63" customFormat="1">
      <c r="A23" s="62"/>
      <c r="B23" s="38" t="s">
        <v>171</v>
      </c>
      <c r="C23" s="39">
        <f>SUM(D22:AG22)</f>
        <v>64713148.332602583</v>
      </c>
      <c r="D23" s="39"/>
      <c r="E23" s="65"/>
      <c r="F23" s="65"/>
      <c r="G23" s="65"/>
      <c r="H23" s="65"/>
      <c r="I23" s="65"/>
      <c r="J23" s="65"/>
      <c r="K23" s="65"/>
      <c r="L23" s="66"/>
      <c r="M23" s="66"/>
      <c r="N23" s="66"/>
      <c r="O23" s="66"/>
      <c r="P23" s="66"/>
      <c r="Q23" s="66"/>
      <c r="R23" s="66"/>
      <c r="S23" s="66"/>
      <c r="T23" s="66"/>
      <c r="U23" s="66"/>
      <c r="V23" s="66"/>
      <c r="W23" s="66"/>
      <c r="X23" s="66"/>
      <c r="Y23" s="66"/>
      <c r="Z23" s="66"/>
      <c r="AA23" s="66"/>
      <c r="AB23" s="66"/>
      <c r="AC23" s="66"/>
      <c r="AD23" s="66"/>
      <c r="AE23" s="66"/>
      <c r="AF23" s="66"/>
      <c r="AG23" s="66"/>
    </row>
    <row r="24" spans="1:33" s="63" customFormat="1">
      <c r="A24" s="62"/>
      <c r="B24" s="38"/>
      <c r="C24" s="39"/>
      <c r="D24" s="39"/>
      <c r="E24" s="65"/>
      <c r="F24" s="65"/>
      <c r="G24" s="65"/>
      <c r="H24" s="65"/>
      <c r="I24" s="65"/>
      <c r="J24" s="65"/>
      <c r="K24" s="65"/>
      <c r="L24" s="66"/>
      <c r="M24" s="66"/>
      <c r="N24" s="66"/>
      <c r="O24" s="66"/>
      <c r="P24" s="66"/>
      <c r="Q24" s="66"/>
      <c r="R24" s="66"/>
      <c r="S24" s="66"/>
      <c r="T24" s="66"/>
      <c r="U24" s="66"/>
      <c r="V24" s="66"/>
      <c r="W24" s="66"/>
      <c r="X24" s="66"/>
      <c r="Y24" s="66"/>
      <c r="Z24" s="66"/>
      <c r="AA24" s="66"/>
      <c r="AB24" s="66"/>
      <c r="AC24" s="66"/>
      <c r="AD24" s="66"/>
      <c r="AE24" s="66"/>
      <c r="AF24" s="66"/>
      <c r="AG24" s="66"/>
    </row>
    <row r="25" spans="1:33" s="89" customFormat="1">
      <c r="A25" s="85"/>
      <c r="B25" s="86" t="s">
        <v>172</v>
      </c>
      <c r="C25" s="87"/>
      <c r="D25" s="88">
        <f>(D5/(D5+D6))*'Costs and Assumptions'!$C$25*Emissions!$C$71*D4</f>
        <v>5070.7536323219156</v>
      </c>
      <c r="E25" s="88">
        <f>(E5/(E5+E6))*'Costs and Assumptions'!$C$25*Emissions!$C$71*E4</f>
        <v>5180.2819107800688</v>
      </c>
      <c r="F25" s="88">
        <f>(F5/(F5+F6))*'Costs and Assumptions'!$C$25*Emissions!$C$71*F4</f>
        <v>5292.1760000529193</v>
      </c>
      <c r="G25" s="88">
        <f>(G5/(G5+G6))*'Costs and Assumptions'!$C$25*Emissions!$C$71*G4</f>
        <v>5406.4870016540626</v>
      </c>
      <c r="H25" s="88">
        <f>(H5/(H5+H6))*'Costs and Assumptions'!$C$25*Emissions!$C$71*H4</f>
        <v>5523.2671208897909</v>
      </c>
      <c r="I25" s="88">
        <f>(I5/(I5+I6))*'Costs and Assumptions'!$C$25*Emissions!$C$71*I4</f>
        <v>5642.5696907010106</v>
      </c>
      <c r="J25" s="88">
        <f>(J5/(J5+J6))*'Costs and Assumptions'!$C$25*Emissions!$C$71*J4</f>
        <v>5764.4491960201531</v>
      </c>
      <c r="K25" s="88">
        <f>(K5/(K5+K6))*'Costs and Assumptions'!$C$25*Emissions!$C$71*K4</f>
        <v>5888.9612986541888</v>
      </c>
      <c r="L25" s="88">
        <f>(L5/(L5+L6))*'Costs and Assumptions'!$C$25*Emissions!$C$71*L4</f>
        <v>6016.1628627051186</v>
      </c>
      <c r="M25" s="88">
        <f>(M5/(M5+M6))*'Costs and Assumptions'!$C$25*Emissions!$C$71*M4</f>
        <v>6146.1119805395501</v>
      </c>
      <c r="N25" s="88">
        <f>(N5/(N5+N6))*'Costs and Assumptions'!$C$25*Emissions!$C$71*N4</f>
        <v>6278.8679993192054</v>
      </c>
      <c r="O25" s="88">
        <f>(O5/(O5+O6))*'Costs and Assumptions'!$C$25*Emissions!$C$71*O4</f>
        <v>6414.4915481045009</v>
      </c>
      <c r="P25" s="88">
        <f>(P5/(P5+P6))*'Costs and Assumptions'!$C$25*Emissions!$C$71*P4</f>
        <v>6553.0445655435587</v>
      </c>
      <c r="Q25" s="88">
        <f>(Q5/(Q5+Q6))*'Costs and Assumptions'!$C$25*Emissions!$C$71*Q4</f>
        <v>6694.5903281593</v>
      </c>
      <c r="R25" s="88">
        <f>(R5/(R5+R6))*'Costs and Assumptions'!$C$25*Emissions!$C$71*R4</f>
        <v>6839.1934792475404</v>
      </c>
      <c r="S25" s="88">
        <f>(S5/(S5+S6))*'Costs and Assumptions'!$C$25*Emissions!$C$71*S4</f>
        <v>6986.9200583992879</v>
      </c>
      <c r="T25" s="88">
        <f>(T5/(T5+T6))*'Costs and Assumptions'!$C$25*Emissions!$C$71*T4</f>
        <v>7137.8375316607126</v>
      </c>
      <c r="U25" s="88">
        <f>(U5/(U5+U6))*'Costs and Assumptions'!$C$25*Emissions!$C$71*U4</f>
        <v>7292.014822344584</v>
      </c>
      <c r="V25" s="88">
        <f>(V5/(V5+V6))*'Costs and Assumptions'!$C$25*Emissions!$C$71*V4</f>
        <v>7449.5223425072281</v>
      </c>
      <c r="W25" s="88">
        <f>(W5/(W5+W6))*'Costs and Assumptions'!$C$25*Emissions!$C$71*W4</f>
        <v>7610.4320251053859</v>
      </c>
      <c r="X25" s="88">
        <f>(X5/(X5+X6))*'Costs and Assumptions'!$C$25*Emissions!$C$71*X4</f>
        <v>7774.8173568476614</v>
      </c>
      <c r="Y25" s="88">
        <f>(Y5/(Y5+Y6))*'Costs and Assumptions'!$C$25*Emissions!$C$71*Y4</f>
        <v>7942.7534117555724</v>
      </c>
      <c r="Z25" s="88">
        <f>(Z5/(Z5+Z6))*'Costs and Assumptions'!$C$25*Emissions!$C$71*Z4</f>
        <v>8114.3168854494925</v>
      </c>
      <c r="AA25" s="88">
        <f>(AA5/(AA5+AA6))*'Costs and Assumptions'!$C$25*Emissions!$C$71*AA4</f>
        <v>8289.5861301752029</v>
      </c>
      <c r="AB25" s="88">
        <f>(AB5/(AB5+AB6))*'Costs and Assumptions'!$C$25*Emissions!$C$71*AB4</f>
        <v>8468.6411905869863</v>
      </c>
      <c r="AC25" s="88">
        <f>(AC5/(AC5+AC6))*'Costs and Assumptions'!$C$25*Emissions!$C$71*AC4</f>
        <v>8651.5638403036664</v>
      </c>
      <c r="AD25" s="88">
        <f>(AD5/(AD5+AD6))*'Costs and Assumptions'!$C$25*Emissions!$C$71*AD4</f>
        <v>8838.4376192542259</v>
      </c>
      <c r="AE25" s="88">
        <f>(AE5/(AE5+AE6))*'Costs and Assumptions'!$C$25*Emissions!$C$71*AE4</f>
        <v>9029.3478718301194</v>
      </c>
      <c r="AF25" s="88">
        <f>(AF5/(AF5+AF6))*'Costs and Assumptions'!$C$25*Emissions!$C$71*AF4</f>
        <v>9224.3817858616494</v>
      </c>
      <c r="AG25" s="88">
        <f>(AG5/(AG5+AG6))*'Costs and Assumptions'!$C$25*Emissions!$C$71*AG4</f>
        <v>9423.6284324362623</v>
      </c>
    </row>
    <row r="26" spans="1:33" s="89" customFormat="1">
      <c r="A26" s="104" t="s">
        <v>173</v>
      </c>
      <c r="B26" s="86" t="s">
        <v>174</v>
      </c>
      <c r="C26" s="87"/>
      <c r="D26" s="88">
        <f>(D6/(D5+D6))*'Costs and Assumptions'!$C$26*Emissions!$C$76*D4</f>
        <v>4943.4694546046539</v>
      </c>
      <c r="E26" s="88">
        <f>(E6/(E5+E6))*'Costs and Assumptions'!$C$26*Emissions!$C$76*E4</f>
        <v>5050.2483948241152</v>
      </c>
      <c r="F26" s="88">
        <f>(F6/(F5+F6))*'Costs and Assumptions'!$C$26*Emissions!$C$76*F4</f>
        <v>5159.3337601523162</v>
      </c>
      <c r="G26" s="88">
        <f>(G6/(G5+G6))*'Costs and Assumptions'!$C$26*Emissions!$C$76*G4</f>
        <v>5270.7753693716077</v>
      </c>
      <c r="H26" s="88">
        <f>(H6/(H5+H6))*'Costs and Assumptions'!$C$26*Emissions!$C$76*H4</f>
        <v>5384.6241173500339</v>
      </c>
      <c r="I26" s="88">
        <f>(I6/(I5+I6))*'Costs and Assumptions'!$C$26*Emissions!$C$76*I4</f>
        <v>5500.9319982847946</v>
      </c>
      <c r="J26" s="88">
        <f>(J6/(J5+J6))*'Costs and Assumptions'!$C$26*Emissions!$C$76*J4</f>
        <v>5619.7521294477474</v>
      </c>
      <c r="K26" s="88">
        <f>(K6/(K5+K6))*'Costs and Assumptions'!$C$26*Emissions!$C$76*K4</f>
        <v>5741.1387754438183</v>
      </c>
      <c r="L26" s="88">
        <f>(L6/(L5+L6))*'Costs and Assumptions'!$C$26*Emissions!$C$76*L4</f>
        <v>5865.147372993405</v>
      </c>
      <c r="M26" s="88">
        <f>(M6/(M5+M6))*'Costs and Assumptions'!$C$26*Emissions!$C$76*M4</f>
        <v>5991.8345562500626</v>
      </c>
      <c r="N26" s="88">
        <f>(N6/(N5+N6))*'Costs and Assumptions'!$C$26*Emissions!$C$76*N4</f>
        <v>6121.2581826650658</v>
      </c>
      <c r="O26" s="88">
        <f>(O6/(O5+O6))*'Costs and Assumptions'!$C$26*Emissions!$C$76*O4</f>
        <v>6253.4773594106309</v>
      </c>
      <c r="P26" s="88">
        <f>(P6/(P5+P6))*'Costs and Assumptions'!$C$26*Emissions!$C$76*P4</f>
        <v>6388.552470373902</v>
      </c>
      <c r="Q26" s="88">
        <f>(Q6/(Q5+Q6))*'Costs and Assumptions'!$C$26*Emissions!$C$76*Q4</f>
        <v>6526.5452037339783</v>
      </c>
      <c r="R26" s="88">
        <f>(R6/(R5+R6))*'Costs and Assumptions'!$C$26*Emissions!$C$76*R4</f>
        <v>6667.5185801346324</v>
      </c>
      <c r="S26" s="88">
        <f>(S6/(S5+S6))*'Costs and Assumptions'!$C$26*Emissions!$C$76*S4</f>
        <v>6811.5369814655405</v>
      </c>
      <c r="T26" s="88">
        <f>(T6/(T5+T6))*'Costs and Assumptions'!$C$26*Emissions!$C$76*T4</f>
        <v>6958.666180265197</v>
      </c>
      <c r="U26" s="88">
        <f>(U6/(U5+U6))*'Costs and Assumptions'!$C$26*Emissions!$C$76*U4</f>
        <v>7108.9733697589245</v>
      </c>
      <c r="V26" s="88">
        <f>(V6/(V5+V6))*'Costs and Assumptions'!$C$26*Emissions!$C$76*V4</f>
        <v>7262.5271945457189</v>
      </c>
      <c r="W26" s="88">
        <f>(W6/(W5+W6))*'Costs and Assumptions'!$C$26*Emissions!$C$76*W4</f>
        <v>7419.3977819479078</v>
      </c>
      <c r="X26" s="88">
        <f>(X6/(X5+X6))*'Costs and Assumptions'!$C$26*Emissions!$C$76*X4</f>
        <v>7579.6567740379814</v>
      </c>
      <c r="Y26" s="88">
        <f>(Y6/(Y5+Y6))*'Costs and Assumptions'!$C$26*Emissions!$C$76*Y4</f>
        <v>7743.3773603572035</v>
      </c>
      <c r="Z26" s="88">
        <f>(Z6/(Z5+Z6))*'Costs and Assumptions'!$C$26*Emissions!$C$76*Z4</f>
        <v>7910.6343113409193</v>
      </c>
      <c r="AA26" s="88">
        <f>(AA6/(AA5+AA6))*'Costs and Assumptions'!$C$26*Emissions!$C$76*AA4</f>
        <v>8081.5040124658835</v>
      </c>
      <c r="AB26" s="88">
        <f>(AB6/(AB5+AB6))*'Costs and Assumptions'!$C$26*Emissions!$C$76*AB4</f>
        <v>8256.0644991351473</v>
      </c>
      <c r="AC26" s="88">
        <f>(AC6/(AC5+AC6))*'Costs and Assumptions'!$C$26*Emissions!$C$76*AC4</f>
        <v>8434.3954923164656</v>
      </c>
      <c r="AD26" s="88">
        <f>(AD6/(AD5+AD6))*'Costs and Assumptions'!$C$26*Emissions!$C$76*AD4</f>
        <v>8616.5784349505029</v>
      </c>
      <c r="AE26" s="88">
        <f>(AE6/(AE5+AE6))*'Costs and Assumptions'!$C$26*Emissions!$C$76*AE4</f>
        <v>8802.6965291454344</v>
      </c>
      <c r="AF26" s="88">
        <f>(AF6/(AF5+AF6))*'Costs and Assumptions'!$C$26*Emissions!$C$76*AF4</f>
        <v>8992.8347741749767</v>
      </c>
      <c r="AG26" s="88">
        <f>(AG6/(AG5+AG6))*'Costs and Assumptions'!$C$26*Emissions!$C$76*AG4</f>
        <v>9187.0800052971572</v>
      </c>
    </row>
    <row r="27" spans="1:33" s="89" customFormat="1">
      <c r="A27" s="85"/>
      <c r="B27" s="86" t="s">
        <v>175</v>
      </c>
      <c r="C27" s="87"/>
      <c r="D27" s="88">
        <f>SUM(D25:D26)</f>
        <v>10014.22308692657</v>
      </c>
      <c r="E27" s="88">
        <f t="shared" ref="E27:AG27" si="3">SUM(E25:E26)</f>
        <v>10230.530305604185</v>
      </c>
      <c r="F27" s="88">
        <f t="shared" si="3"/>
        <v>10451.509760205236</v>
      </c>
      <c r="G27" s="88">
        <f t="shared" si="3"/>
        <v>10677.26237102567</v>
      </c>
      <c r="H27" s="88">
        <f t="shared" si="3"/>
        <v>10907.891238239825</v>
      </c>
      <c r="I27" s="88">
        <f t="shared" si="3"/>
        <v>11143.501688985805</v>
      </c>
      <c r="J27" s="88">
        <f t="shared" si="3"/>
        <v>11384.2013254679</v>
      </c>
      <c r="K27" s="88">
        <f t="shared" si="3"/>
        <v>11630.100074098007</v>
      </c>
      <c r="L27" s="88">
        <f t="shared" si="3"/>
        <v>11881.310235698524</v>
      </c>
      <c r="M27" s="88">
        <f t="shared" si="3"/>
        <v>12137.946536789612</v>
      </c>
      <c r="N27" s="88">
        <f t="shared" si="3"/>
        <v>12400.126181984271</v>
      </c>
      <c r="O27" s="88">
        <f t="shared" si="3"/>
        <v>12667.968907515133</v>
      </c>
      <c r="P27" s="88">
        <f t="shared" si="3"/>
        <v>12941.597035917461</v>
      </c>
      <c r="Q27" s="88">
        <f t="shared" si="3"/>
        <v>13221.135531893278</v>
      </c>
      <c r="R27" s="88">
        <f t="shared" si="3"/>
        <v>13506.712059382173</v>
      </c>
      <c r="S27" s="88">
        <f t="shared" si="3"/>
        <v>13798.457039864828</v>
      </c>
      <c r="T27" s="88">
        <f t="shared" si="3"/>
        <v>14096.50371192591</v>
      </c>
      <c r="U27" s="88">
        <f t="shared" si="3"/>
        <v>14400.988192103508</v>
      </c>
      <c r="V27" s="88">
        <f t="shared" si="3"/>
        <v>14712.049537052946</v>
      </c>
      <c r="W27" s="88">
        <f t="shared" si="3"/>
        <v>15029.829807053295</v>
      </c>
      <c r="X27" s="88">
        <f t="shared" si="3"/>
        <v>15354.474130885643</v>
      </c>
      <c r="Y27" s="88">
        <f t="shared" si="3"/>
        <v>15686.130772112776</v>
      </c>
      <c r="Z27" s="88">
        <f t="shared" si="3"/>
        <v>16024.951196790411</v>
      </c>
      <c r="AA27" s="88">
        <f t="shared" si="3"/>
        <v>16371.090142641086</v>
      </c>
      <c r="AB27" s="88">
        <f t="shared" si="3"/>
        <v>16724.705689722134</v>
      </c>
      <c r="AC27" s="88">
        <f t="shared" si="3"/>
        <v>17085.959332620132</v>
      </c>
      <c r="AD27" s="88">
        <f t="shared" si="3"/>
        <v>17455.016054204731</v>
      </c>
      <c r="AE27" s="88">
        <f t="shared" si="3"/>
        <v>17832.044400975552</v>
      </c>
      <c r="AF27" s="88">
        <f t="shared" si="3"/>
        <v>18217.216560036628</v>
      </c>
      <c r="AG27" s="88">
        <f t="shared" si="3"/>
        <v>18610.708437733418</v>
      </c>
    </row>
    <row r="28" spans="1:33" s="109" customFormat="1">
      <c r="A28" s="105"/>
      <c r="B28" s="106"/>
      <c r="C28" s="107"/>
      <c r="D28" s="107"/>
      <c r="E28" s="108"/>
      <c r="F28" s="108"/>
      <c r="G28" s="108"/>
      <c r="H28" s="108"/>
      <c r="I28" s="108"/>
      <c r="J28" s="108"/>
      <c r="K28" s="108"/>
      <c r="L28" s="66"/>
      <c r="M28" s="66"/>
      <c r="N28" s="66"/>
      <c r="O28" s="66"/>
      <c r="P28" s="66"/>
      <c r="Q28" s="66"/>
      <c r="R28" s="66"/>
      <c r="S28" s="66"/>
      <c r="T28" s="66"/>
      <c r="U28" s="66"/>
      <c r="V28" s="66"/>
      <c r="W28" s="66"/>
      <c r="X28" s="66"/>
      <c r="Y28" s="66"/>
      <c r="Z28" s="66"/>
      <c r="AA28" s="66"/>
      <c r="AB28" s="66"/>
      <c r="AC28" s="66"/>
      <c r="AD28" s="66"/>
      <c r="AE28" s="66"/>
      <c r="AF28" s="66"/>
      <c r="AG28" s="66"/>
    </row>
    <row r="29" spans="1:33" s="117" customFormat="1" hidden="1">
      <c r="A29" s="113"/>
      <c r="B29" s="115" t="s">
        <v>176</v>
      </c>
      <c r="C29" s="119">
        <f>(1+'Costs and Assumptions'!$C$43)^(C3-'Costs and Assumptions'!$G$14)</f>
        <v>1</v>
      </c>
      <c r="D29" s="119">
        <f>(1+'Costs and Assumptions'!$C$43)^(D3-'Costs and Assumptions'!$G$14)</f>
        <v>1</v>
      </c>
      <c r="E29" s="119">
        <f>(1+'Costs and Assumptions'!$C$43)^(E3-'Costs and Assumptions'!$G$14)</f>
        <v>1</v>
      </c>
      <c r="F29" s="119">
        <f>(1+'Costs and Assumptions'!$C$43)^(F3-'Costs and Assumptions'!$G$14)</f>
        <v>1</v>
      </c>
      <c r="G29" s="119">
        <f>(1+'Costs and Assumptions'!$C$43)^(G3-'Costs and Assumptions'!$G$14)</f>
        <v>1</v>
      </c>
      <c r="H29" s="119">
        <f>(1+'Costs and Assumptions'!$C$43)^(H3-'Costs and Assumptions'!$G$14)</f>
        <v>1</v>
      </c>
      <c r="I29" s="119">
        <f>(1+'Costs and Assumptions'!$C$43)^(I3-'Costs and Assumptions'!$G$14)</f>
        <v>1</v>
      </c>
      <c r="J29" s="119">
        <f>(1+'Costs and Assumptions'!$C$43)^(J3-'Costs and Assumptions'!$G$14)</f>
        <v>1</v>
      </c>
      <c r="K29" s="119">
        <f>(1+'Costs and Assumptions'!$C$43)^(K3-'Costs and Assumptions'!$G$14)</f>
        <v>1</v>
      </c>
      <c r="L29" s="119">
        <f>(1+'Costs and Assumptions'!$C$43)^(L3-'Costs and Assumptions'!$G$14)</f>
        <v>1</v>
      </c>
      <c r="M29" s="119">
        <f>(1+'Costs and Assumptions'!$C$43)^(M3-'Costs and Assumptions'!$G$14)</f>
        <v>1</v>
      </c>
      <c r="N29" s="119">
        <f>(1+'Costs and Assumptions'!$C$43)^(N3-'Costs and Assumptions'!$G$14)</f>
        <v>1</v>
      </c>
      <c r="O29" s="119">
        <f>(1+'Costs and Assumptions'!$C$43)^(O3-'Costs and Assumptions'!$G$14)</f>
        <v>1</v>
      </c>
      <c r="P29" s="119">
        <f>(1+'Costs and Assumptions'!$C$43)^(P3-'Costs and Assumptions'!$G$14)</f>
        <v>1</v>
      </c>
      <c r="Q29" s="119">
        <f>(1+'Costs and Assumptions'!$C$43)^(Q3-'Costs and Assumptions'!$G$14)</f>
        <v>1</v>
      </c>
      <c r="R29" s="119">
        <f>(1+'Costs and Assumptions'!$C$43)^(R3-'Costs and Assumptions'!$G$14)</f>
        <v>1</v>
      </c>
      <c r="S29" s="119">
        <f>(1+'Costs and Assumptions'!$C$43)^(S3-'Costs and Assumptions'!$G$14)</f>
        <v>1</v>
      </c>
      <c r="T29" s="119">
        <f>(1+'Costs and Assumptions'!$C$43)^(T3-'Costs and Assumptions'!$G$14)</f>
        <v>1</v>
      </c>
      <c r="U29" s="119">
        <f>(1+'Costs and Assumptions'!$C$43)^(U3-'Costs and Assumptions'!$G$14)</f>
        <v>1</v>
      </c>
      <c r="V29" s="119">
        <f>(1+'Costs and Assumptions'!$C$43)^(V3-'Costs and Assumptions'!$G$14)</f>
        <v>1</v>
      </c>
      <c r="W29" s="119">
        <f>(1+'Costs and Assumptions'!$C$43)^(W3-'Costs and Assumptions'!$G$14)</f>
        <v>1</v>
      </c>
      <c r="X29" s="119">
        <f>(1+'Costs and Assumptions'!$C$43)^(X3-'Costs and Assumptions'!$G$14)</f>
        <v>1</v>
      </c>
      <c r="Y29" s="119">
        <f>(1+'Costs and Assumptions'!$C$43)^(Y3-'Costs and Assumptions'!$G$14)</f>
        <v>1</v>
      </c>
      <c r="Z29" s="119">
        <f>(1+'Costs and Assumptions'!$C$43)^(Z3-'Costs and Assumptions'!$G$14)</f>
        <v>1</v>
      </c>
      <c r="AA29" s="119">
        <f>(1+'Costs and Assumptions'!$C$43)^(AA3-'Costs and Assumptions'!$G$14)</f>
        <v>1</v>
      </c>
      <c r="AB29" s="119">
        <f>(1+'Costs and Assumptions'!$C$43)^(AB3-'Costs and Assumptions'!$G$14)</f>
        <v>1</v>
      </c>
      <c r="AC29" s="119">
        <f>(1+'Costs and Assumptions'!$C$43)^(AC3-'Costs and Assumptions'!$G$14)</f>
        <v>1</v>
      </c>
      <c r="AD29" s="119">
        <f>(1+'Costs and Assumptions'!$C$43)^(AD3-'Costs and Assumptions'!$G$14)</f>
        <v>1</v>
      </c>
      <c r="AE29" s="119">
        <f>(1+'Costs and Assumptions'!$C$43)^(AE3-'Costs and Assumptions'!$G$14)</f>
        <v>1</v>
      </c>
      <c r="AF29" s="119">
        <f>(1+'Costs and Assumptions'!$C$43)^(AF3-'Costs and Assumptions'!$G$14)</f>
        <v>1</v>
      </c>
      <c r="AG29" s="119">
        <f>(1+'Costs and Assumptions'!$C$43)^(AG3-'Costs and Assumptions'!$G$14)</f>
        <v>1</v>
      </c>
    </row>
    <row r="30" spans="1:33" s="117" customFormat="1" hidden="1">
      <c r="A30" s="113"/>
      <c r="B30" s="115" t="s">
        <v>177</v>
      </c>
      <c r="C30" s="116">
        <f>C29*'Costs and Assumptions'!$C$42</f>
        <v>246773.5</v>
      </c>
      <c r="D30" s="116">
        <f>D29*'Costs and Assumptions'!$C$42</f>
        <v>246773.5</v>
      </c>
      <c r="E30" s="116">
        <f>E29*'Costs and Assumptions'!$C$42</f>
        <v>246773.5</v>
      </c>
      <c r="F30" s="116">
        <f>F29*'Costs and Assumptions'!$C$42</f>
        <v>246773.5</v>
      </c>
      <c r="G30" s="116">
        <f>G29*'Costs and Assumptions'!$C$42</f>
        <v>246773.5</v>
      </c>
      <c r="H30" s="116">
        <f>H29*'Costs and Assumptions'!$C$42</f>
        <v>246773.5</v>
      </c>
      <c r="I30" s="116">
        <f>I29*'Costs and Assumptions'!$C$42</f>
        <v>246773.5</v>
      </c>
      <c r="J30" s="116">
        <f>J29*'Costs and Assumptions'!$C$42</f>
        <v>246773.5</v>
      </c>
      <c r="K30" s="116">
        <f>K29*'Costs and Assumptions'!$C$42</f>
        <v>246773.5</v>
      </c>
      <c r="L30" s="116">
        <f>L29*'Costs and Assumptions'!$C$42</f>
        <v>246773.5</v>
      </c>
      <c r="M30" s="116">
        <f>M29*'Costs and Assumptions'!$C$42</f>
        <v>246773.5</v>
      </c>
      <c r="N30" s="116">
        <f>N29*'Costs and Assumptions'!$C$42</f>
        <v>246773.5</v>
      </c>
      <c r="O30" s="116">
        <f>O29*'Costs and Assumptions'!$C$42</f>
        <v>246773.5</v>
      </c>
      <c r="P30" s="116">
        <f>P29*'Costs and Assumptions'!$C$42</f>
        <v>246773.5</v>
      </c>
      <c r="Q30" s="116">
        <f>Q29*'Costs and Assumptions'!$C$42</f>
        <v>246773.5</v>
      </c>
      <c r="R30" s="116">
        <f>R29*'Costs and Assumptions'!$C$42</f>
        <v>246773.5</v>
      </c>
      <c r="S30" s="116">
        <f>S29*'Costs and Assumptions'!$C$42</f>
        <v>246773.5</v>
      </c>
      <c r="T30" s="116">
        <f>T29*'Costs and Assumptions'!$C$42</f>
        <v>246773.5</v>
      </c>
      <c r="U30" s="116">
        <f>U29*'Costs and Assumptions'!$C$42</f>
        <v>246773.5</v>
      </c>
      <c r="V30" s="116">
        <f>V29*'Costs and Assumptions'!$C$42</f>
        <v>246773.5</v>
      </c>
      <c r="W30" s="116">
        <f>W29*'Costs and Assumptions'!$C$42</f>
        <v>246773.5</v>
      </c>
      <c r="X30" s="116">
        <f>X29*'Costs and Assumptions'!$C$42</f>
        <v>246773.5</v>
      </c>
      <c r="Y30" s="116">
        <f>Y29*'Costs and Assumptions'!$C$42</f>
        <v>246773.5</v>
      </c>
      <c r="Z30" s="116">
        <f>Z29*'Costs and Assumptions'!$C$42</f>
        <v>246773.5</v>
      </c>
      <c r="AA30" s="116">
        <f>AA29*'Costs and Assumptions'!$C$42</f>
        <v>246773.5</v>
      </c>
      <c r="AB30" s="116">
        <f>AB29*'Costs and Assumptions'!$C$42</f>
        <v>246773.5</v>
      </c>
      <c r="AC30" s="116">
        <f>AC29*'Costs and Assumptions'!$C$42</f>
        <v>246773.5</v>
      </c>
      <c r="AD30" s="116">
        <f>AD29*'Costs and Assumptions'!$C$42</f>
        <v>246773.5</v>
      </c>
      <c r="AE30" s="116">
        <f>AE29*'Costs and Assumptions'!$C$42</f>
        <v>246773.5</v>
      </c>
      <c r="AF30" s="116">
        <f>AF29*'Costs and Assumptions'!$C$42</f>
        <v>246773.5</v>
      </c>
      <c r="AG30" s="116">
        <f>AG29*'Costs and Assumptions'!$C$42</f>
        <v>246773.5</v>
      </c>
    </row>
    <row r="31" spans="1:33" s="117" customFormat="1" hidden="1">
      <c r="A31" s="113"/>
      <c r="B31" s="115" t="s">
        <v>178</v>
      </c>
      <c r="C31" s="116">
        <f>C30/'Costs and Assumptions'!$C$46</f>
        <v>82257.833333333328</v>
      </c>
      <c r="D31" s="116">
        <f>D30/'Costs and Assumptions'!$C$46</f>
        <v>82257.833333333328</v>
      </c>
      <c r="E31" s="116">
        <f>E30/'Costs and Assumptions'!$C$46</f>
        <v>82257.833333333328</v>
      </c>
      <c r="F31" s="116">
        <f>F30/'Costs and Assumptions'!$C$46</f>
        <v>82257.833333333328</v>
      </c>
      <c r="G31" s="116">
        <f>G30/'Costs and Assumptions'!$C$46</f>
        <v>82257.833333333328</v>
      </c>
      <c r="H31" s="116">
        <f>H30/'Costs and Assumptions'!$C$46</f>
        <v>82257.833333333328</v>
      </c>
      <c r="I31" s="116">
        <f>I30/'Costs and Assumptions'!$C$46</f>
        <v>82257.833333333328</v>
      </c>
      <c r="J31" s="116">
        <f>J30/'Costs and Assumptions'!$C$46</f>
        <v>82257.833333333328</v>
      </c>
      <c r="K31" s="116">
        <f>K30/'Costs and Assumptions'!$C$46</f>
        <v>82257.833333333328</v>
      </c>
      <c r="L31" s="116">
        <f>L30/'Costs and Assumptions'!$C$46</f>
        <v>82257.833333333328</v>
      </c>
      <c r="M31" s="116">
        <f>M30/'Costs and Assumptions'!$C$46</f>
        <v>82257.833333333328</v>
      </c>
      <c r="N31" s="116">
        <f>N30/'Costs and Assumptions'!$C$46</f>
        <v>82257.833333333328</v>
      </c>
      <c r="O31" s="116">
        <f>O30/'Costs and Assumptions'!$C$46</f>
        <v>82257.833333333328</v>
      </c>
      <c r="P31" s="116">
        <f>P30/'Costs and Assumptions'!$C$46</f>
        <v>82257.833333333328</v>
      </c>
      <c r="Q31" s="116">
        <f>Q30/'Costs and Assumptions'!$C$46</f>
        <v>82257.833333333328</v>
      </c>
      <c r="R31" s="116">
        <f>R30/'Costs and Assumptions'!$C$46</f>
        <v>82257.833333333328</v>
      </c>
      <c r="S31" s="116">
        <f>S30/'Costs and Assumptions'!$C$46</f>
        <v>82257.833333333328</v>
      </c>
      <c r="T31" s="116">
        <f>T30/'Costs and Assumptions'!$C$46</f>
        <v>82257.833333333328</v>
      </c>
      <c r="U31" s="116">
        <f>U30/'Costs and Assumptions'!$C$46</f>
        <v>82257.833333333328</v>
      </c>
      <c r="V31" s="116">
        <f>V30/'Costs and Assumptions'!$C$46</f>
        <v>82257.833333333328</v>
      </c>
      <c r="W31" s="116">
        <f>W30/'Costs and Assumptions'!$C$46</f>
        <v>82257.833333333328</v>
      </c>
      <c r="X31" s="116">
        <f>X30/'Costs and Assumptions'!$C$46</f>
        <v>82257.833333333328</v>
      </c>
      <c r="Y31" s="116">
        <f>Y30/'Costs and Assumptions'!$C$46</f>
        <v>82257.833333333328</v>
      </c>
      <c r="Z31" s="116">
        <f>Z30/'Costs and Assumptions'!$C$46</f>
        <v>82257.833333333328</v>
      </c>
      <c r="AA31" s="116">
        <f>AA30/'Costs and Assumptions'!$C$46</f>
        <v>82257.833333333328</v>
      </c>
      <c r="AB31" s="116">
        <f>AB30/'Costs and Assumptions'!$C$46</f>
        <v>82257.833333333328</v>
      </c>
      <c r="AC31" s="116">
        <f>AC30/'Costs and Assumptions'!$C$46</f>
        <v>82257.833333333328</v>
      </c>
      <c r="AD31" s="116">
        <f>AD30/'Costs and Assumptions'!$C$46</f>
        <v>82257.833333333328</v>
      </c>
      <c r="AE31" s="116">
        <f>AE30/'Costs and Assumptions'!$C$46</f>
        <v>82257.833333333328</v>
      </c>
      <c r="AF31" s="116">
        <f>AF30/'Costs and Assumptions'!$C$46</f>
        <v>82257.833333333328</v>
      </c>
      <c r="AG31" s="116">
        <f>AG30/'Costs and Assumptions'!$C$46</f>
        <v>82257.833333333328</v>
      </c>
    </row>
    <row r="32" spans="1:33" s="117" customFormat="1" hidden="1">
      <c r="A32" s="114" t="s">
        <v>179</v>
      </c>
      <c r="B32" s="115" t="s">
        <v>180</v>
      </c>
      <c r="C32" s="116">
        <f>C31*'Costs and Assumptions'!$C$47</f>
        <v>82257.833333333328</v>
      </c>
      <c r="D32" s="116">
        <f>D31*'Costs and Assumptions'!$C$47</f>
        <v>82257.833333333328</v>
      </c>
      <c r="E32" s="116">
        <f>E31*'Costs and Assumptions'!$C$47</f>
        <v>82257.833333333328</v>
      </c>
      <c r="F32" s="116">
        <f>F31*'Costs and Assumptions'!$C$47</f>
        <v>82257.833333333328</v>
      </c>
      <c r="G32" s="116">
        <f>G31*'Costs and Assumptions'!$C$47</f>
        <v>82257.833333333328</v>
      </c>
      <c r="H32" s="116">
        <f>H31*'Costs and Assumptions'!$C$47</f>
        <v>82257.833333333328</v>
      </c>
      <c r="I32" s="116">
        <f>I31*'Costs and Assumptions'!$C$47</f>
        <v>82257.833333333328</v>
      </c>
      <c r="J32" s="116">
        <f>J31*'Costs and Assumptions'!$C$47</f>
        <v>82257.833333333328</v>
      </c>
      <c r="K32" s="116">
        <f>K31*'Costs and Assumptions'!$C$47</f>
        <v>82257.833333333328</v>
      </c>
      <c r="L32" s="116">
        <f>L31*'Costs and Assumptions'!$C$47</f>
        <v>82257.833333333328</v>
      </c>
      <c r="M32" s="116">
        <f>M31*'Costs and Assumptions'!$C$47</f>
        <v>82257.833333333328</v>
      </c>
      <c r="N32" s="116">
        <f>N31*'Costs and Assumptions'!$C$47</f>
        <v>82257.833333333328</v>
      </c>
      <c r="O32" s="116">
        <f>O31*'Costs and Assumptions'!$C$47</f>
        <v>82257.833333333328</v>
      </c>
      <c r="P32" s="116">
        <f>P31*'Costs and Assumptions'!$C$47</f>
        <v>82257.833333333328</v>
      </c>
      <c r="Q32" s="116">
        <f>Q31*'Costs and Assumptions'!$C$47</f>
        <v>82257.833333333328</v>
      </c>
      <c r="R32" s="116">
        <f>R31*'Costs and Assumptions'!$C$47</f>
        <v>82257.833333333328</v>
      </c>
      <c r="S32" s="116">
        <f>S31*'Costs and Assumptions'!$C$47</f>
        <v>82257.833333333328</v>
      </c>
      <c r="T32" s="116">
        <f>T31*'Costs and Assumptions'!$C$47</f>
        <v>82257.833333333328</v>
      </c>
      <c r="U32" s="116">
        <f>U31*'Costs and Assumptions'!$C$47</f>
        <v>82257.833333333328</v>
      </c>
      <c r="V32" s="116">
        <f>V31*'Costs and Assumptions'!$C$47</f>
        <v>82257.833333333328</v>
      </c>
      <c r="W32" s="116">
        <f>W31*'Costs and Assumptions'!$C$47</f>
        <v>82257.833333333328</v>
      </c>
      <c r="X32" s="116">
        <f>X31*'Costs and Assumptions'!$C$47</f>
        <v>82257.833333333328</v>
      </c>
      <c r="Y32" s="116">
        <f>Y31*'Costs and Assumptions'!$C$47</f>
        <v>82257.833333333328</v>
      </c>
      <c r="Z32" s="116">
        <f>Z31*'Costs and Assumptions'!$C$47</f>
        <v>82257.833333333328</v>
      </c>
      <c r="AA32" s="116">
        <f>AA31*'Costs and Assumptions'!$C$47</f>
        <v>82257.833333333328</v>
      </c>
      <c r="AB32" s="116">
        <f>AB31*'Costs and Assumptions'!$C$47</f>
        <v>82257.833333333328</v>
      </c>
      <c r="AC32" s="116">
        <f>AC31*'Costs and Assumptions'!$C$47</f>
        <v>82257.833333333328</v>
      </c>
      <c r="AD32" s="116">
        <f>AD31*'Costs and Assumptions'!$C$47</f>
        <v>82257.833333333328</v>
      </c>
      <c r="AE32" s="116">
        <f>AE31*'Costs and Assumptions'!$C$47</f>
        <v>82257.833333333328</v>
      </c>
      <c r="AF32" s="116">
        <f>AF31*'Costs and Assumptions'!$C$47</f>
        <v>82257.833333333328</v>
      </c>
      <c r="AG32" s="116">
        <f>AG31*'Costs and Assumptions'!$C$47</f>
        <v>82257.833333333328</v>
      </c>
    </row>
    <row r="33" spans="1:33" s="117" customFormat="1" hidden="1">
      <c r="A33" s="113"/>
      <c r="B33" s="115" t="s">
        <v>181</v>
      </c>
      <c r="C33" s="116"/>
      <c r="D33" s="118">
        <f>D32*(1-'Costs and Assumptions'!$C$50)*'Costs and Assumptions'!$C$49*D4</f>
        <v>85282.079743903538</v>
      </c>
      <c r="E33" s="118">
        <f>E32*(1-'Costs and Assumptions'!$C$50)*'Costs and Assumptions'!$C$49*E4</f>
        <v>87124.172666371858</v>
      </c>
      <c r="F33" s="118">
        <f>F32*(1-'Costs and Assumptions'!$C$50)*'Costs and Assumptions'!$C$49*F4</f>
        <v>89006.054795965509</v>
      </c>
      <c r="G33" s="118">
        <f>G32*(1-'Costs and Assumptions'!$C$50)*'Costs and Assumptions'!$C$49*G4</f>
        <v>90928.585579558378</v>
      </c>
      <c r="H33" s="118">
        <f>H32*(1-'Costs and Assumptions'!$C$50)*'Costs and Assumptions'!$C$49*H4</f>
        <v>92892.643028076825</v>
      </c>
      <c r="I33" s="118">
        <f>I32*(1-'Costs and Assumptions'!$C$50)*'Costs and Assumptions'!$C$49*I4</f>
        <v>94899.124117483298</v>
      </c>
      <c r="J33" s="118">
        <f>J32*(1-'Costs and Assumptions'!$C$50)*'Costs and Assumptions'!$C$49*J4</f>
        <v>96948.945198420945</v>
      </c>
      <c r="K33" s="118">
        <f>K32*(1-'Costs and Assumptions'!$C$50)*'Costs and Assumptions'!$C$49*K4</f>
        <v>99043.042414706841</v>
      </c>
      <c r="L33" s="118">
        <f>L32*(1-'Costs and Assumptions'!$C$50)*'Costs and Assumptions'!$C$49*L4</f>
        <v>101182.37213086452</v>
      </c>
      <c r="M33" s="118">
        <f>M32*(1-'Costs and Assumptions'!$C$50)*'Costs and Assumptions'!$C$49*M4</f>
        <v>103367.91136889119</v>
      </c>
      <c r="N33" s="118">
        <f>N32*(1-'Costs and Assumptions'!$C$50)*'Costs and Assumptions'!$C$49*N4</f>
        <v>105600.65825445927</v>
      </c>
      <c r="O33" s="118">
        <f>O32*(1-'Costs and Assumptions'!$C$50)*'Costs and Assumptions'!$C$49*O4</f>
        <v>107881.63247275559</v>
      </c>
      <c r="P33" s="118">
        <f>P32*(1-'Costs and Assumptions'!$C$50)*'Costs and Assumptions'!$C$49*P4</f>
        <v>110211.87573416712</v>
      </c>
      <c r="Q33" s="118">
        <f>Q32*(1-'Costs and Assumptions'!$C$50)*'Costs and Assumptions'!$C$49*Q4</f>
        <v>112592.45225002513</v>
      </c>
      <c r="R33" s="118">
        <f>R32*(1-'Costs and Assumptions'!$C$50)*'Costs and Assumptions'!$C$49*R4</f>
        <v>115024.44921862567</v>
      </c>
      <c r="S33" s="118">
        <f>S32*(1-'Costs and Assumptions'!$C$50)*'Costs and Assumptions'!$C$49*S4</f>
        <v>117508.97732174801</v>
      </c>
      <c r="T33" s="118">
        <f>T32*(1-'Costs and Assumptions'!$C$50)*'Costs and Assumptions'!$C$49*T4</f>
        <v>120047.17123189777</v>
      </c>
      <c r="U33" s="118">
        <f>U32*(1-'Costs and Assumptions'!$C$50)*'Costs and Assumptions'!$C$49*U4</f>
        <v>122640.19013050676</v>
      </c>
      <c r="V33" s="118">
        <f>V32*(1-'Costs and Assumptions'!$C$50)*'Costs and Assumptions'!$C$49*V4</f>
        <v>125289.21823732572</v>
      </c>
      <c r="W33" s="118">
        <f>W32*(1-'Costs and Assumptions'!$C$50)*'Costs and Assumptions'!$C$49*W4</f>
        <v>127995.46535125197</v>
      </c>
      <c r="X33" s="118">
        <f>X32*(1-'Costs and Assumptions'!$C$50)*'Costs and Assumptions'!$C$49*X4</f>
        <v>130760.16740283901</v>
      </c>
      <c r="Y33" s="118">
        <f>Y32*(1-'Costs and Assumptions'!$C$50)*'Costs and Assumptions'!$C$49*Y4</f>
        <v>133584.58701874036</v>
      </c>
      <c r="Z33" s="118">
        <f>Z32*(1-'Costs and Assumptions'!$C$50)*'Costs and Assumptions'!$C$49*Z4</f>
        <v>136470.01409834516</v>
      </c>
      <c r="AA33" s="118">
        <f>AA32*(1-'Costs and Assumptions'!$C$50)*'Costs and Assumptions'!$C$49*AA4</f>
        <v>139417.76640286943</v>
      </c>
      <c r="AB33" s="118">
        <f>AB32*(1-'Costs and Assumptions'!$C$50)*'Costs and Assumptions'!$C$49*AB4</f>
        <v>142429.1901571714</v>
      </c>
      <c r="AC33" s="118">
        <f>AC32*(1-'Costs and Assumptions'!$C$50)*'Costs and Assumptions'!$C$49*AC4</f>
        <v>145505.6606645663</v>
      </c>
      <c r="AD33" s="118">
        <f>AD32*(1-'Costs and Assumptions'!$C$50)*'Costs and Assumptions'!$C$49*AD4</f>
        <v>148648.58293492094</v>
      </c>
      <c r="AE33" s="118">
        <f>AE32*(1-'Costs and Assumptions'!$C$50)*'Costs and Assumptions'!$C$49*AE4</f>
        <v>151859.39232631525</v>
      </c>
      <c r="AF33" s="118">
        <f>AF32*(1-'Costs and Assumptions'!$C$50)*'Costs and Assumptions'!$C$49*AF4</f>
        <v>155139.55520056369</v>
      </c>
      <c r="AG33" s="118">
        <f>AG32*(1-'Costs and Assumptions'!$C$50)*'Costs and Assumptions'!$C$49*AG4</f>
        <v>158490.56959289586</v>
      </c>
    </row>
    <row r="34" spans="1:33" s="117" customFormat="1" hidden="1">
      <c r="A34" s="113"/>
      <c r="B34" s="115" t="s">
        <v>182</v>
      </c>
      <c r="C34" s="116"/>
      <c r="D34" s="118">
        <f>D32*'Costs and Assumptions'!$C$50*'Costs and Assumptions'!$C$49*D4</f>
        <v>3791176.0904335263</v>
      </c>
      <c r="E34" s="118">
        <f>E32*'Costs and Assumptions'!$C$50*'Costs and Assumptions'!$C$49*E4</f>
        <v>3873065.4939868907</v>
      </c>
      <c r="F34" s="118">
        <f>F32*'Costs and Assumptions'!$C$50*'Costs and Assumptions'!$C$49*F4</f>
        <v>3956723.7086570077</v>
      </c>
      <c r="G34" s="118">
        <f>G32*'Costs and Assumptions'!$C$50*'Costs and Assumptions'!$C$49*G4</f>
        <v>4042188.9407639997</v>
      </c>
      <c r="H34" s="118">
        <f>H32*'Costs and Assumptions'!$C$50*'Costs and Assumptions'!$C$49*H4</f>
        <v>4129500.2218845021</v>
      </c>
      <c r="I34" s="118">
        <f>I32*'Costs and Assumptions'!$C$50*'Costs and Assumptions'!$C$49*I4</f>
        <v>4218697.4266772075</v>
      </c>
      <c r="J34" s="118">
        <f>J32*'Costs and Assumptions'!$C$50*'Costs and Assumptions'!$C$49*J4</f>
        <v>4309821.2910934361</v>
      </c>
      <c r="K34" s="118">
        <f>K32*'Costs and Assumptions'!$C$50*'Costs and Assumptions'!$C$49*K4</f>
        <v>4402913.430981054</v>
      </c>
      <c r="L34" s="118">
        <f>L32*'Costs and Assumptions'!$C$50*'Costs and Assumptions'!$C$49*L4</f>
        <v>4498016.3610902447</v>
      </c>
      <c r="M34" s="118">
        <f>M32*'Costs and Assumptions'!$C$50*'Costs and Assumptions'!$C$49*M4</f>
        <v>4595173.5144897941</v>
      </c>
      <c r="N34" s="118">
        <f>N32*'Costs and Assumptions'!$C$50*'Costs and Assumptions'!$C$49*N4</f>
        <v>4694429.2624027748</v>
      </c>
      <c r="O34" s="118">
        <f>O32*'Costs and Assumptions'!$C$50*'Costs and Assumptions'!$C$49*O4</f>
        <v>4795828.934470675</v>
      </c>
      <c r="P34" s="118">
        <f>P32*'Costs and Assumptions'!$C$50*'Costs and Assumptions'!$C$49*P4</f>
        <v>4899418.8394552423</v>
      </c>
      <c r="Q34" s="118">
        <f>Q32*'Costs and Assumptions'!$C$50*'Costs and Assumptions'!$C$49*Q4</f>
        <v>5005246.2863874761</v>
      </c>
      <c r="R34" s="118">
        <f>R32*'Costs and Assumptions'!$C$50*'Costs and Assumptions'!$C$49*R4</f>
        <v>5113359.6061734455</v>
      </c>
      <c r="S34" s="118">
        <f>S32*'Costs and Assumptions'!$C$50*'Costs and Assumptions'!$C$49*S4</f>
        <v>5223808.173666792</v>
      </c>
      <c r="T34" s="118">
        <f>T32*'Costs and Assumptions'!$C$50*'Costs and Assumptions'!$C$49*T4</f>
        <v>5336642.4302179953</v>
      </c>
      <c r="U34" s="118">
        <f>U32*'Costs and Assumptions'!$C$50*'Costs and Assumptions'!$C$49*U4</f>
        <v>5451913.9067107039</v>
      </c>
      <c r="V34" s="118">
        <f>V32*'Costs and Assumptions'!$C$50*'Costs and Assumptions'!$C$49*V4</f>
        <v>5569675.2470956556</v>
      </c>
      <c r="W34" s="118">
        <f>W32*'Costs and Assumptions'!$C$50*'Costs and Assumptions'!$C$49*W4</f>
        <v>5689980.2324329223</v>
      </c>
      <c r="X34" s="118">
        <f>X32*'Costs and Assumptions'!$C$50*'Costs and Assumptions'!$C$49*X4</f>
        <v>5812883.8054534737</v>
      </c>
      <c r="Y34" s="118">
        <f>Y32*'Costs and Assumptions'!$C$50*'Costs and Assumptions'!$C$49*Y4</f>
        <v>5938442.0956512699</v>
      </c>
      <c r="Z34" s="118">
        <f>Z32*'Costs and Assumptions'!$C$50*'Costs and Assumptions'!$C$49*Z4</f>
        <v>6066712.444917337</v>
      </c>
      <c r="AA34" s="118">
        <f>AA32*'Costs and Assumptions'!$C$50*'Costs and Assumptions'!$C$49*AA4</f>
        <v>6197753.4337275522</v>
      </c>
      <c r="AB34" s="118">
        <f>AB32*'Costs and Assumptions'!$C$50*'Costs and Assumptions'!$C$49*AB4</f>
        <v>6331624.907896067</v>
      </c>
      <c r="AC34" s="118">
        <f>AC32*'Costs and Assumptions'!$C$50*'Costs and Assumptions'!$C$49*AC4</f>
        <v>6468388.0059066219</v>
      </c>
      <c r="AD34" s="118">
        <f>AD32*'Costs and Assumptions'!$C$50*'Costs and Assumptions'!$C$49*AD4</f>
        <v>6608105.1868342068</v>
      </c>
      <c r="AE34" s="118">
        <f>AE32*'Costs and Assumptions'!$C$50*'Costs and Assumptions'!$C$49*AE4</f>
        <v>6750840.2588698259</v>
      </c>
      <c r="AF34" s="118">
        <f>AF32*'Costs and Assumptions'!$C$50*'Costs and Assumptions'!$C$49*AF4</f>
        <v>6896658.4084614143</v>
      </c>
      <c r="AG34" s="118">
        <f>AG32*'Costs and Assumptions'!$C$50*'Costs and Assumptions'!$C$49*AG4</f>
        <v>7045626.2300841818</v>
      </c>
    </row>
    <row r="35" spans="1:33" s="117" customFormat="1" hidden="1">
      <c r="A35" s="113"/>
      <c r="B35" s="117" t="s">
        <v>183</v>
      </c>
      <c r="C35" s="120"/>
      <c r="D35" s="121">
        <f>D33+D34</f>
        <v>3876458.1701774299</v>
      </c>
      <c r="E35" s="121">
        <f t="shared" ref="E35:AG35" si="4">E33+E34</f>
        <v>3960189.6666532625</v>
      </c>
      <c r="F35" s="121">
        <f t="shared" si="4"/>
        <v>4045729.7634529732</v>
      </c>
      <c r="G35" s="121">
        <f t="shared" si="4"/>
        <v>4133117.526343558</v>
      </c>
      <c r="H35" s="121">
        <f t="shared" si="4"/>
        <v>4222392.8649125788</v>
      </c>
      <c r="I35" s="121">
        <f t="shared" si="4"/>
        <v>4313596.5507946908</v>
      </c>
      <c r="J35" s="121">
        <f t="shared" si="4"/>
        <v>4406770.2362918574</v>
      </c>
      <c r="K35" s="121">
        <f t="shared" si="4"/>
        <v>4501956.4733957611</v>
      </c>
      <c r="L35" s="121">
        <f t="shared" si="4"/>
        <v>4599198.733221109</v>
      </c>
      <c r="M35" s="121">
        <f t="shared" si="4"/>
        <v>4698541.4258586857</v>
      </c>
      <c r="N35" s="121">
        <f t="shared" si="4"/>
        <v>4800029.9206572343</v>
      </c>
      <c r="O35" s="121">
        <f t="shared" si="4"/>
        <v>4903710.5669434303</v>
      </c>
      <c r="P35" s="121">
        <f t="shared" si="4"/>
        <v>5009630.7151894094</v>
      </c>
      <c r="Q35" s="121">
        <f t="shared" si="4"/>
        <v>5117838.7386375014</v>
      </c>
      <c r="R35" s="121">
        <f t="shared" si="4"/>
        <v>5228384.0553920716</v>
      </c>
      <c r="S35" s="121">
        <f t="shared" si="4"/>
        <v>5341317.1509885397</v>
      </c>
      <c r="T35" s="121">
        <f t="shared" si="4"/>
        <v>5456689.6014498929</v>
      </c>
      <c r="U35" s="121">
        <f t="shared" si="4"/>
        <v>5574554.0968412105</v>
      </c>
      <c r="V35" s="121">
        <f t="shared" si="4"/>
        <v>5694964.4653329812</v>
      </c>
      <c r="W35" s="121">
        <f t="shared" si="4"/>
        <v>5817975.6977841742</v>
      </c>
      <c r="X35" s="121">
        <f t="shared" si="4"/>
        <v>5943643.972856313</v>
      </c>
      <c r="Y35" s="121">
        <f t="shared" si="4"/>
        <v>6072026.6826700103</v>
      </c>
      <c r="Z35" s="121">
        <f t="shared" si="4"/>
        <v>6203182.4590156823</v>
      </c>
      <c r="AA35" s="121">
        <f t="shared" si="4"/>
        <v>6337171.2001304217</v>
      </c>
      <c r="AB35" s="121">
        <f t="shared" si="4"/>
        <v>6474054.0980532384</v>
      </c>
      <c r="AC35" s="121">
        <f t="shared" si="4"/>
        <v>6613893.6665711878</v>
      </c>
      <c r="AD35" s="121">
        <f t="shared" si="4"/>
        <v>6756753.7697691275</v>
      </c>
      <c r="AE35" s="121">
        <f t="shared" si="4"/>
        <v>6902699.6511961408</v>
      </c>
      <c r="AF35" s="121">
        <f t="shared" si="4"/>
        <v>7051797.963661978</v>
      </c>
      <c r="AG35" s="121">
        <f t="shared" si="4"/>
        <v>7204116.7996770777</v>
      </c>
    </row>
    <row r="36" spans="1:33" s="109" customFormat="1">
      <c r="A36" s="105"/>
      <c r="B36" s="38"/>
      <c r="C36" s="107"/>
      <c r="D36" s="107"/>
      <c r="E36" s="108"/>
      <c r="F36" s="108"/>
      <c r="G36" s="108"/>
      <c r="H36" s="108"/>
      <c r="I36" s="108"/>
      <c r="J36" s="108"/>
      <c r="K36" s="108"/>
      <c r="L36" s="66"/>
      <c r="M36" s="66"/>
      <c r="N36" s="66"/>
      <c r="O36" s="66"/>
      <c r="P36" s="66"/>
      <c r="Q36" s="66"/>
      <c r="R36" s="66"/>
      <c r="S36" s="66"/>
      <c r="T36" s="66"/>
      <c r="U36" s="66"/>
      <c r="V36" s="66"/>
      <c r="W36" s="66"/>
      <c r="X36" s="66"/>
      <c r="Y36" s="66"/>
      <c r="Z36" s="66"/>
      <c r="AA36" s="66"/>
      <c r="AB36" s="66"/>
      <c r="AC36" s="66"/>
      <c r="AD36" s="66"/>
      <c r="AE36" s="66"/>
      <c r="AF36" s="66"/>
      <c r="AG36" s="66"/>
    </row>
    <row r="37" spans="1:33" s="63" customFormat="1">
      <c r="A37" s="62"/>
      <c r="B37" s="38" t="s">
        <v>184</v>
      </c>
      <c r="C37" s="64"/>
      <c r="D37" s="74">
        <f>'Costs and Assumptions'!$G$4</f>
        <v>23529000</v>
      </c>
      <c r="E37" s="53">
        <f>'Costs and Assumptions'!$F$4*(E5-D5)*E4</f>
        <v>0</v>
      </c>
      <c r="F37" s="53">
        <f>'Costs and Assumptions'!$F$4*(F5-E5)*F4</f>
        <v>0</v>
      </c>
      <c r="G37" s="53">
        <f>'Costs and Assumptions'!$F$4*(G5-F5)*G4</f>
        <v>0</v>
      </c>
      <c r="H37" s="53">
        <f>'Costs and Assumptions'!$F$4*(H5-G5)*H4</f>
        <v>0</v>
      </c>
      <c r="I37" s="53">
        <f>'Costs and Assumptions'!$F$4*(I5-H5)*I4</f>
        <v>0</v>
      </c>
      <c r="J37" s="53">
        <f>'Costs and Assumptions'!$F$4*(J5-I5)*J4</f>
        <v>0</v>
      </c>
      <c r="K37" s="53">
        <f>'Costs and Assumptions'!$F$4*(K5-J5)*K4</f>
        <v>0</v>
      </c>
      <c r="L37" s="53">
        <f>'Costs and Assumptions'!$F$4*(L5-K5)*L4</f>
        <v>0</v>
      </c>
      <c r="M37" s="53">
        <f>'Costs and Assumptions'!$F$4*(M5-L5)*M4</f>
        <v>0</v>
      </c>
      <c r="N37" s="53">
        <f>'Costs and Assumptions'!$F$4*(N5-M5)*N4</f>
        <v>0</v>
      </c>
      <c r="O37" s="53">
        <f>'Costs and Assumptions'!$F$4*(O5-N5)*O4</f>
        <v>0</v>
      </c>
      <c r="P37" s="53">
        <f>'Costs and Assumptions'!$F$4*(P5-O5)*P4</f>
        <v>0</v>
      </c>
      <c r="Q37" s="53">
        <f>'Costs and Assumptions'!$F$4*(Q5-P5)*Q4</f>
        <v>0</v>
      </c>
      <c r="R37" s="53">
        <f>'Costs and Assumptions'!$F$4*(R5-Q5)*R4</f>
        <v>0</v>
      </c>
      <c r="S37" s="53">
        <f>'Costs and Assumptions'!$F$4*(S5-R5)*S4</f>
        <v>0</v>
      </c>
      <c r="T37" s="53">
        <f>'Costs and Assumptions'!$F$4*(T5-S5)*T4</f>
        <v>0</v>
      </c>
      <c r="U37" s="53">
        <f>'Costs and Assumptions'!$F$4*(U5-T5)*U4</f>
        <v>0</v>
      </c>
      <c r="V37" s="53">
        <f>'Costs and Assumptions'!$F$4*(V5-U5)*V4</f>
        <v>0</v>
      </c>
      <c r="W37" s="53">
        <f>'Costs and Assumptions'!$F$4*(W5-V5)*W4</f>
        <v>0</v>
      </c>
      <c r="X37" s="53">
        <f>'Costs and Assumptions'!$F$4*(X5-W5)*X4</f>
        <v>0</v>
      </c>
      <c r="Y37" s="53">
        <f>'Costs and Assumptions'!$F$4*(Y5-X5)*Y4</f>
        <v>0</v>
      </c>
      <c r="Z37" s="53">
        <f>'Costs and Assumptions'!$F$4*(Z5-Y5)*Z4</f>
        <v>0</v>
      </c>
      <c r="AA37" s="53">
        <f>'Costs and Assumptions'!$F$4*(AA5-Z5)*AA4</f>
        <v>0</v>
      </c>
      <c r="AB37" s="53">
        <f>'Costs and Assumptions'!$F$4*(AB5-AA5)*AB4</f>
        <v>0</v>
      </c>
      <c r="AC37" s="53">
        <f>'Costs and Assumptions'!$F$4*(AC5-AB5)*AC4</f>
        <v>0</v>
      </c>
      <c r="AD37" s="53">
        <f>'Costs and Assumptions'!$F$4*(AD5-AC5)*AD4</f>
        <v>0</v>
      </c>
      <c r="AE37" s="53">
        <f>'Costs and Assumptions'!$F$4*(AE5-AD5)*AE4</f>
        <v>0</v>
      </c>
      <c r="AF37" s="53">
        <f>'Costs and Assumptions'!$F$4*(AF5-AE5)*AF4</f>
        <v>0</v>
      </c>
      <c r="AG37" s="53">
        <f>'Costs and Assumptions'!$F$4*(AG5-AF5)*AG4</f>
        <v>0</v>
      </c>
    </row>
    <row r="38" spans="1:33" s="63" customFormat="1">
      <c r="A38" s="62"/>
      <c r="B38" t="s">
        <v>23</v>
      </c>
      <c r="C38" s="64"/>
      <c r="D38" s="148">
        <f>'Costs and Assumptions'!$G$5</f>
        <v>1575000</v>
      </c>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row>
    <row r="39" spans="1:33" s="63" customFormat="1">
      <c r="A39" s="62"/>
      <c r="B39" t="s">
        <v>24</v>
      </c>
      <c r="C39" s="64"/>
      <c r="D39" s="148">
        <f>'Costs and Assumptions'!$G$6</f>
        <v>3836250</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row>
    <row r="40" spans="1:33" s="63" customFormat="1">
      <c r="A40" s="62"/>
      <c r="B40" t="s">
        <v>185</v>
      </c>
      <c r="C40" s="64"/>
      <c r="D40" s="74">
        <f>SUM(D37:D39)</f>
        <v>28940250</v>
      </c>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row>
    <row r="41" spans="1:33" s="63" customFormat="1">
      <c r="A41" s="62"/>
      <c r="B41" s="38"/>
      <c r="C41" s="64"/>
      <c r="D41" s="74"/>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row>
    <row r="42" spans="1:33" s="63" customFormat="1">
      <c r="A42" s="62"/>
      <c r="B42" s="63" t="s">
        <v>186</v>
      </c>
      <c r="C42" s="64"/>
      <c r="D42" s="65">
        <f>D22+D40</f>
        <v>29965015.104251556</v>
      </c>
      <c r="E42" s="65">
        <f t="shared" ref="E42:AG42" si="5">E22+E37</f>
        <v>1063396.9589357194</v>
      </c>
      <c r="F42" s="65">
        <f t="shared" si="5"/>
        <v>1104385.2114634821</v>
      </c>
      <c r="G42" s="65">
        <f t="shared" si="5"/>
        <v>1147904.197094233</v>
      </c>
      <c r="H42" s="65">
        <f t="shared" si="5"/>
        <v>1194141.9182456443</v>
      </c>
      <c r="I42" s="65">
        <f t="shared" si="5"/>
        <v>1243301.1323072193</v>
      </c>
      <c r="J42" s="65">
        <f t="shared" si="5"/>
        <v>1295600.5263680425</v>
      </c>
      <c r="K42" s="65">
        <f t="shared" si="5"/>
        <v>1351275.9858096628</v>
      </c>
      <c r="L42" s="65">
        <f t="shared" si="5"/>
        <v>1410581.9642710548</v>
      </c>
      <c r="M42" s="65">
        <f t="shared" si="5"/>
        <v>1473792.9630931257</v>
      </c>
      <c r="N42" s="65">
        <f t="shared" si="5"/>
        <v>1541205.1289987762</v>
      </c>
      <c r="O42" s="65">
        <f t="shared" si="5"/>
        <v>1613137.9794649682</v>
      </c>
      <c r="P42" s="65">
        <f t="shared" si="5"/>
        <v>1689936.2659997065</v>
      </c>
      <c r="Q42" s="65">
        <f t="shared" si="5"/>
        <v>1771971.9863538437</v>
      </c>
      <c r="R42" s="65">
        <f t="shared" si="5"/>
        <v>1859646.5575799432</v>
      </c>
      <c r="S42" s="65">
        <f t="shared" si="5"/>
        <v>1953393.16280337</v>
      </c>
      <c r="T42" s="65">
        <f t="shared" si="5"/>
        <v>2053679.285599947</v>
      </c>
      <c r="U42" s="65">
        <f t="shared" si="5"/>
        <v>2161009.4469859945</v>
      </c>
      <c r="V42" s="65">
        <f t="shared" si="5"/>
        <v>2275928.1612269985</v>
      </c>
      <c r="W42" s="65">
        <f t="shared" si="5"/>
        <v>2399023.1279675825</v>
      </c>
      <c r="X42" s="65">
        <f t="shared" si="5"/>
        <v>2530928.6795856245</v>
      </c>
      <c r="Y42" s="65">
        <f t="shared" si="5"/>
        <v>2672329.5041855336</v>
      </c>
      <c r="Z42" s="65">
        <f t="shared" si="5"/>
        <v>2823964.6662788298</v>
      </c>
      <c r="AA42" s="65">
        <f t="shared" si="5"/>
        <v>2986631.9489639811</v>
      </c>
      <c r="AB42" s="65">
        <f t="shared" si="5"/>
        <v>3161192.5433223285</v>
      </c>
      <c r="AC42" s="65">
        <f t="shared" si="5"/>
        <v>3348576.1128042308</v>
      </c>
      <c r="AD42" s="65">
        <f t="shared" si="5"/>
        <v>3549786.2626014189</v>
      </c>
      <c r="AE42" s="65">
        <f t="shared" si="5"/>
        <v>3765906.4464011593</v>
      </c>
      <c r="AF42" s="65">
        <f t="shared" si="5"/>
        <v>3998106.3455094276</v>
      </c>
      <c r="AG42" s="65">
        <f t="shared" si="5"/>
        <v>4247648.7581291795</v>
      </c>
    </row>
    <row r="43" spans="1:33" s="40" customForma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row>
    <row r="44" spans="1:33" s="40" customFormat="1">
      <c r="A44" s="37"/>
      <c r="B44" s="3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row>
    <row r="45" spans="1:33" s="40" customFormat="1">
      <c r="A45" s="37"/>
      <c r="B45" s="38" t="s">
        <v>88</v>
      </c>
      <c r="C45" s="41">
        <v>0.03</v>
      </c>
      <c r="D45" s="42">
        <f>(1+'Costs and Assumptions'!$C$52)^(D3-'Costs and Assumptions'!$G$14)</f>
        <v>1.1592740742999998</v>
      </c>
      <c r="E45" s="42">
        <f>(1+'Costs and Assumptions'!$C$52)^(E3-'Costs and Assumptions'!$G$14)</f>
        <v>1.1940522965289999</v>
      </c>
      <c r="F45" s="42">
        <f>(1+'Costs and Assumptions'!$C$52)^(F3-'Costs and Assumptions'!$G$14)</f>
        <v>1.22987386542487</v>
      </c>
      <c r="G45" s="42">
        <f>(1+'Costs and Assumptions'!$C$52)^(G3-'Costs and Assumptions'!$G$14)</f>
        <v>1.2667700813876159</v>
      </c>
      <c r="H45" s="42">
        <f>(1+'Costs and Assumptions'!$C$52)^(H3-'Costs and Assumptions'!$G$14)</f>
        <v>1.3047731838292445</v>
      </c>
      <c r="I45" s="42">
        <f>(1+'Costs and Assumptions'!$C$52)^(I3-'Costs and Assumptions'!$G$14)</f>
        <v>1.3439163793441218</v>
      </c>
      <c r="J45" s="42">
        <f>(1+'Costs and Assumptions'!$C$52)^(J3-'Costs and Assumptions'!$G$14)</f>
        <v>1.3842338707244455</v>
      </c>
      <c r="K45" s="42">
        <f>(1+'Costs and Assumptions'!$C$52)^(K3-'Costs and Assumptions'!$G$14)</f>
        <v>1.4257608868461786</v>
      </c>
      <c r="L45" s="42">
        <f>(1+'Costs and Assumptions'!$C$52)^(L3-'Costs and Assumptions'!$G$14)</f>
        <v>1.4685337134515639</v>
      </c>
      <c r="M45" s="42">
        <f>(1+'Costs and Assumptions'!$C$52)^(M3-'Costs and Assumptions'!$G$14)</f>
        <v>1.512589724855111</v>
      </c>
      <c r="N45" s="42">
        <f>(1+'Costs and Assumptions'!$C$52)^(N3-'Costs and Assumptions'!$G$14)</f>
        <v>1.5579674166007644</v>
      </c>
      <c r="O45" s="42">
        <f>(1+'Costs and Assumptions'!$C$52)^(O3-'Costs and Assumptions'!$G$14)</f>
        <v>1.6047064390987871</v>
      </c>
      <c r="P45" s="42">
        <f>(1+'Costs and Assumptions'!$C$52)^(P3-'Costs and Assumptions'!$G$14)</f>
        <v>1.6528476322717507</v>
      </c>
      <c r="Q45" s="42">
        <f>(1+'Costs and Assumptions'!$C$52)^(Q3-'Costs and Assumptions'!$G$14)</f>
        <v>1.7024330612399032</v>
      </c>
      <c r="R45" s="42">
        <f>(1+'Costs and Assumptions'!$C$52)^(R3-'Costs and Assumptions'!$G$14)</f>
        <v>1.7535060530771003</v>
      </c>
      <c r="S45" s="42">
        <f>(1+'Costs and Assumptions'!$C$52)^(S3-'Costs and Assumptions'!$G$14)</f>
        <v>1.8061112346694133</v>
      </c>
      <c r="T45" s="42">
        <f>(1+'Costs and Assumptions'!$C$52)^(T3-'Costs and Assumptions'!$G$14)</f>
        <v>1.8602945717094954</v>
      </c>
      <c r="U45" s="42">
        <f>(1+'Costs and Assumptions'!$C$52)^(U3-'Costs and Assumptions'!$G$14)</f>
        <v>1.9161034088607805</v>
      </c>
      <c r="V45" s="42">
        <f>(1+'Costs and Assumptions'!$C$52)^(V3-'Costs and Assumptions'!$G$14)</f>
        <v>1.973586511126604</v>
      </c>
      <c r="W45" s="42">
        <f>(1+'Costs and Assumptions'!$C$52)^(W3-'Costs and Assumptions'!$G$14)</f>
        <v>2.0327941064604018</v>
      </c>
      <c r="X45" s="42">
        <f>(1+'Costs and Assumptions'!$C$52)^(X3-'Costs and Assumptions'!$G$14)</f>
        <v>2.0937779296542138</v>
      </c>
      <c r="Y45" s="42">
        <f>(1+'Costs and Assumptions'!$C$52)^(Y3-'Costs and Assumptions'!$G$14)</f>
        <v>2.1565912675438406</v>
      </c>
      <c r="Z45" s="42">
        <f>(1+'Costs and Assumptions'!$C$52)^(Z3-'Costs and Assumptions'!$G$14)</f>
        <v>2.2212890055701555</v>
      </c>
      <c r="AA45" s="42">
        <f>(1+'Costs and Assumptions'!$C$52)^(AA3-'Costs and Assumptions'!$G$14)</f>
        <v>2.2879276757372602</v>
      </c>
      <c r="AB45" s="42">
        <f>(1+'Costs and Assumptions'!$C$52)^(AB3-'Costs and Assumptions'!$G$14)</f>
        <v>2.3565655060093778</v>
      </c>
      <c r="AC45" s="42">
        <f>(1+'Costs and Assumptions'!$C$52)^(AC3-'Costs and Assumptions'!$G$14)</f>
        <v>2.4272624711896591</v>
      </c>
      <c r="AD45" s="42">
        <f>(1+'Costs and Assumptions'!$C$52)^(AD3-'Costs and Assumptions'!$G$14)</f>
        <v>2.5000803453253493</v>
      </c>
      <c r="AE45" s="42">
        <f>(1+'Costs and Assumptions'!$C$52)^(AE3-'Costs and Assumptions'!$G$14)</f>
        <v>2.5750827556851092</v>
      </c>
      <c r="AF45" s="42">
        <f>(1+'Costs and Assumptions'!$C$52)^(AF3-'Costs and Assumptions'!$G$14)</f>
        <v>2.6523352383556626</v>
      </c>
      <c r="AG45" s="42">
        <f>(1+'Costs and Assumptions'!$C$52)^(AG3-'Costs and Assumptions'!$G$14)</f>
        <v>2.7319052955063321</v>
      </c>
    </row>
    <row r="46" spans="1:33" s="40" customFormat="1">
      <c r="A46" s="37"/>
      <c r="B46" s="38" t="s">
        <v>89</v>
      </c>
      <c r="C46" s="43"/>
      <c r="D46" s="53">
        <f>D42/D45</f>
        <v>25848085.25313155</v>
      </c>
      <c r="E46" s="53">
        <f t="shared" ref="E46:AG46" si="6">E42/E45</f>
        <v>890578.21171393956</v>
      </c>
      <c r="F46" s="53">
        <f t="shared" si="6"/>
        <v>897966.240694092</v>
      </c>
      <c r="G46" s="53">
        <f t="shared" si="6"/>
        <v>906166.17329391174</v>
      </c>
      <c r="H46" s="53">
        <f t="shared" si="6"/>
        <v>915210.34693637723</v>
      </c>
      <c r="I46" s="53">
        <f t="shared" si="6"/>
        <v>925132.80693401012</v>
      </c>
      <c r="J46" s="53">
        <f t="shared" si="6"/>
        <v>935969.38622082968</v>
      </c>
      <c r="K46" s="53">
        <f t="shared" si="6"/>
        <v>947757.78903482307</v>
      </c>
      <c r="L46" s="53">
        <f t="shared" si="6"/>
        <v>960537.67874058383</v>
      </c>
      <c r="M46" s="53">
        <f t="shared" si="6"/>
        <v>974350.76999104861</v>
      </c>
      <c r="N46" s="53">
        <f t="shared" si="6"/>
        <v>989240.92543696403</v>
      </c>
      <c r="O46" s="53">
        <f t="shared" si="6"/>
        <v>1005254.257202904</v>
      </c>
      <c r="P46" s="53">
        <f t="shared" si="6"/>
        <v>1022439.2333593263</v>
      </c>
      <c r="Q46" s="53">
        <f t="shared" si="6"/>
        <v>1040846.7896313611</v>
      </c>
      <c r="R46" s="53">
        <f t="shared" si="6"/>
        <v>1060530.4465967396</v>
      </c>
      <c r="S46" s="53">
        <f t="shared" si="6"/>
        <v>1081546.432637586</v>
      </c>
      <c r="T46" s="53">
        <f t="shared" si="6"/>
        <v>1103953.8129236936</v>
      </c>
      <c r="U46" s="53">
        <f t="shared" si="6"/>
        <v>1127814.6247184137</v>
      </c>
      <c r="V46" s="53">
        <f t="shared" si="6"/>
        <v>1153194.0193124879</v>
      </c>
      <c r="W46" s="53">
        <f t="shared" si="6"/>
        <v>1180160.4109059901</v>
      </c>
      <c r="X46" s="53">
        <f t="shared" si="6"/>
        <v>1208785.6327741528</v>
      </c>
      <c r="Y46" s="53">
        <f t="shared" si="6"/>
        <v>1239145.1010691847</v>
      </c>
      <c r="Z46" s="53">
        <f t="shared" si="6"/>
        <v>1271317.98662731</v>
      </c>
      <c r="AA46" s="53">
        <f t="shared" si="6"/>
        <v>1305387.3951682372</v>
      </c>
      <c r="AB46" s="53">
        <f t="shared" si="6"/>
        <v>1341440.5562930908</v>
      </c>
      <c r="AC46" s="53">
        <f t="shared" si="6"/>
        <v>1379569.0217065869</v>
      </c>
      <c r="AD46" s="53">
        <f t="shared" si="6"/>
        <v>1419868.8731099423</v>
      </c>
      <c r="AE46" s="53">
        <f t="shared" si="6"/>
        <v>1462440.9402327063</v>
      </c>
      <c r="AF46" s="53">
        <f t="shared" si="6"/>
        <v>1507391.0294944793</v>
      </c>
      <c r="AG46" s="53">
        <f t="shared" si="6"/>
        <v>1554830.1638113407</v>
      </c>
    </row>
    <row r="47" spans="1:33" s="40" customFormat="1">
      <c r="A47" s="37"/>
    </row>
    <row r="48" spans="1:33" s="40" customFormat="1">
      <c r="A48" s="37"/>
      <c r="B48" s="40" t="s">
        <v>88</v>
      </c>
      <c r="C48" s="41">
        <v>7.0000000000000007E-2</v>
      </c>
      <c r="D48" s="42">
        <f>(1+'Costs and Assumptions'!$C$53)^(D3-'Costs and Assumptions'!$G$14)</f>
        <v>1.4025517307000002</v>
      </c>
      <c r="E48" s="42">
        <f>(1+'Costs and Assumptions'!$C$53)^(E3-'Costs and Assumptions'!$G$14)</f>
        <v>1.5007303518490001</v>
      </c>
      <c r="F48" s="42">
        <f>(1+'Costs and Assumptions'!$C$53)^(F3-'Costs and Assumptions'!$G$14)</f>
        <v>1.6057814764784302</v>
      </c>
      <c r="G48" s="42">
        <f>(1+'Costs and Assumptions'!$C$53)^(G3-'Costs and Assumptions'!$G$14)</f>
        <v>1.7181861798319202</v>
      </c>
      <c r="H48" s="42">
        <f>(1+'Costs and Assumptions'!$C$53)^(H3-'Costs and Assumptions'!$G$14)</f>
        <v>1.8384592124201549</v>
      </c>
      <c r="I48" s="42">
        <f>(1+'Costs and Assumptions'!$C$53)^(I3-'Costs and Assumptions'!$G$14)</f>
        <v>1.9671513572895656</v>
      </c>
      <c r="J48" s="42">
        <f>(1+'Costs and Assumptions'!$C$53)^(J3-'Costs and Assumptions'!$G$14)</f>
        <v>2.1048519522998355</v>
      </c>
      <c r="K48" s="42">
        <f>(1+'Costs and Assumptions'!$C$53)^(K3-'Costs and Assumptions'!$G$14)</f>
        <v>2.2521915889608235</v>
      </c>
      <c r="L48" s="42">
        <f>(1+'Costs and Assumptions'!$C$53)^(L3-'Costs and Assumptions'!$G$14)</f>
        <v>2.4098450001880813</v>
      </c>
      <c r="M48" s="42">
        <f>(1+'Costs and Assumptions'!$C$53)^(M3-'Costs and Assumptions'!$G$14)</f>
        <v>2.5785341502012469</v>
      </c>
      <c r="N48" s="42">
        <f>(1+'Costs and Assumptions'!$C$53)^(N3-'Costs and Assumptions'!$G$14)</f>
        <v>2.7590315407153345</v>
      </c>
      <c r="O48" s="42">
        <f>(1+'Costs and Assumptions'!$C$53)^(O3-'Costs and Assumptions'!$G$14)</f>
        <v>2.9521637485654075</v>
      </c>
      <c r="P48" s="42">
        <f>(1+'Costs and Assumptions'!$C$53)^(P3-'Costs and Assumptions'!$G$14)</f>
        <v>3.1588152109649861</v>
      </c>
      <c r="Q48" s="42">
        <f>(1+'Costs and Assumptions'!$C$53)^(Q3-'Costs and Assumptions'!$G$14)</f>
        <v>3.3799322757325352</v>
      </c>
      <c r="R48" s="42">
        <f>(1+'Costs and Assumptions'!$C$53)^(R3-'Costs and Assumptions'!$G$14)</f>
        <v>3.6165275350338129</v>
      </c>
      <c r="S48" s="42">
        <f>(1+'Costs and Assumptions'!$C$53)^(S3-'Costs and Assumptions'!$G$14)</f>
        <v>3.8696844624861795</v>
      </c>
      <c r="T48" s="42">
        <f>(1+'Costs and Assumptions'!$C$53)^(T3-'Costs and Assumptions'!$G$14)</f>
        <v>4.1405623748602123</v>
      </c>
      <c r="U48" s="42">
        <f>(1+'Costs and Assumptions'!$C$53)^(U3-'Costs and Assumptions'!$G$14)</f>
        <v>4.4304017411004271</v>
      </c>
      <c r="V48" s="42">
        <f>(1+'Costs and Assumptions'!$C$53)^(V3-'Costs and Assumptions'!$G$14)</f>
        <v>4.740529862977457</v>
      </c>
      <c r="W48" s="42">
        <f>(1+'Costs and Assumptions'!$C$53)^(W3-'Costs and Assumptions'!$G$14)</f>
        <v>5.0723669533858793</v>
      </c>
      <c r="X48" s="42">
        <f>(1+'Costs and Assumptions'!$C$53)^(X3-'Costs and Assumptions'!$G$14)</f>
        <v>5.4274326401228912</v>
      </c>
      <c r="Y48" s="42">
        <f>(1+'Costs and Assumptions'!$C$53)^(Y3-'Costs and Assumptions'!$G$14)</f>
        <v>5.807352924931493</v>
      </c>
      <c r="Z48" s="42">
        <f>(1+'Costs and Assumptions'!$C$53)^(Z3-'Costs and Assumptions'!$G$14)</f>
        <v>6.2138676296766988</v>
      </c>
      <c r="AA48" s="42">
        <f>(1+'Costs and Assumptions'!$C$53)^(AA3-'Costs and Assumptions'!$G$14)</f>
        <v>6.6488383637540664</v>
      </c>
      <c r="AB48" s="42">
        <f>(1+'Costs and Assumptions'!$C$53)^(AB3-'Costs and Assumptions'!$G$14)</f>
        <v>7.1142570492168513</v>
      </c>
      <c r="AC48" s="42">
        <f>(1+'Costs and Assumptions'!$C$53)^(AC3-'Costs and Assumptions'!$G$14)</f>
        <v>7.6122550426620306</v>
      </c>
      <c r="AD48" s="42">
        <f>(1+'Costs and Assumptions'!$C$53)^(AD3-'Costs and Assumptions'!$G$14)</f>
        <v>8.1451128956483743</v>
      </c>
      <c r="AE48" s="42">
        <f>(1+'Costs and Assumptions'!$C$53)^(AE3-'Costs and Assumptions'!$G$14)</f>
        <v>8.7152707983437594</v>
      </c>
      <c r="AF48" s="42">
        <f>(1+'Costs and Assumptions'!$C$53)^(AF3-'Costs and Assumptions'!$G$14)</f>
        <v>9.3253397542278229</v>
      </c>
      <c r="AG48" s="42">
        <f>(1+'Costs and Assumptions'!$C$53)^(AG3-'Costs and Assumptions'!$G$14)</f>
        <v>9.9781135370237699</v>
      </c>
    </row>
    <row r="49" spans="1:33" s="40" customFormat="1">
      <c r="A49" s="37"/>
      <c r="B49" s="40" t="s">
        <v>90</v>
      </c>
      <c r="D49" s="53">
        <f>D42/D48</f>
        <v>21364641.637350734</v>
      </c>
      <c r="E49" s="53">
        <f t="shared" ref="E49:AG49" si="7">E42/E48</f>
        <v>708586.29441694391</v>
      </c>
      <c r="F49" s="53">
        <f t="shared" si="7"/>
        <v>687755.60538004304</v>
      </c>
      <c r="G49" s="53">
        <f t="shared" si="7"/>
        <v>668090.69387726393</v>
      </c>
      <c r="H49" s="53">
        <f t="shared" si="7"/>
        <v>649534.08276796702</v>
      </c>
      <c r="I49" s="53">
        <f t="shared" si="7"/>
        <v>632031.25051866809</v>
      </c>
      <c r="J49" s="53">
        <f t="shared" si="7"/>
        <v>615530.47707342252</v>
      </c>
      <c r="K49" s="53">
        <f t="shared" si="7"/>
        <v>599982.69793430436</v>
      </c>
      <c r="L49" s="53">
        <f t="shared" si="7"/>
        <v>585341.36600526713</v>
      </c>
      <c r="M49" s="53">
        <f t="shared" si="7"/>
        <v>571562.32077752415</v>
      </c>
      <c r="N49" s="53">
        <f t="shared" si="7"/>
        <v>558603.66445799591</v>
      </c>
      <c r="O49" s="53">
        <f t="shared" si="7"/>
        <v>546425.64466448256</v>
      </c>
      <c r="P49" s="53">
        <f t="shared" si="7"/>
        <v>534990.54333205137</v>
      </c>
      <c r="Q49" s="53">
        <f t="shared" si="7"/>
        <v>524262.57149480988</v>
      </c>
      <c r="R49" s="53">
        <f t="shared" si="7"/>
        <v>514207.76962577621</v>
      </c>
      <c r="S49" s="53">
        <f t="shared" si="7"/>
        <v>504793.91323507595</v>
      </c>
      <c r="T49" s="53">
        <f t="shared" si="7"/>
        <v>495990.42344321171</v>
      </c>
      <c r="U49" s="53">
        <f t="shared" si="7"/>
        <v>487768.28226174385</v>
      </c>
      <c r="V49" s="53">
        <f t="shared" si="7"/>
        <v>480099.9523284348</v>
      </c>
      <c r="W49" s="53">
        <f t="shared" si="7"/>
        <v>472959.30085779767</v>
      </c>
      <c r="X49" s="53">
        <f t="shared" si="7"/>
        <v>466321.52758109913</v>
      </c>
      <c r="Y49" s="53">
        <f t="shared" si="7"/>
        <v>460163.09646224196</v>
      </c>
      <c r="Z49" s="53">
        <f t="shared" si="7"/>
        <v>454461.67098763218</v>
      </c>
      <c r="AA49" s="53">
        <f t="shared" si="7"/>
        <v>449196.05283917132</v>
      </c>
      <c r="AB49" s="53">
        <f t="shared" si="7"/>
        <v>444346.12376991881</v>
      </c>
      <c r="AC49" s="53">
        <f t="shared" si="7"/>
        <v>439892.7905118143</v>
      </c>
      <c r="AD49" s="53">
        <f t="shared" si="7"/>
        <v>435817.93255412526</v>
      </c>
      <c r="AE49" s="53">
        <f t="shared" si="7"/>
        <v>432104.35264006117</v>
      </c>
      <c r="AF49" s="53">
        <f t="shared" si="7"/>
        <v>428735.72983727581</v>
      </c>
      <c r="AG49" s="53">
        <f t="shared" si="7"/>
        <v>425696.57504580275</v>
      </c>
    </row>
    <row r="50" spans="1:33" s="47" customFormat="1">
      <c r="A50" s="44"/>
      <c r="B50" s="15"/>
      <c r="C50" s="45"/>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row>
    <row r="51" spans="1:33" s="47" customFormat="1">
      <c r="A51" s="44"/>
      <c r="B51" s="15"/>
      <c r="C51" s="45"/>
      <c r="D51" s="46"/>
      <c r="E51" s="48"/>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row>
    <row r="52" spans="1:33" s="47" customFormat="1">
      <c r="A52" s="44"/>
      <c r="B52" s="15" t="s">
        <v>187</v>
      </c>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row>
    <row r="53" spans="1:33" s="47" customFormat="1">
      <c r="A53" s="44"/>
      <c r="B53" s="16" t="s">
        <v>92</v>
      </c>
      <c r="C53" s="49"/>
      <c r="D53" s="46">
        <f>SUM(D46:AG46)</f>
        <v>58656912.30970367</v>
      </c>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row>
    <row r="54" spans="1:33" s="47" customFormat="1">
      <c r="A54" s="44"/>
      <c r="B54" s="16" t="s">
        <v>93</v>
      </c>
      <c r="C54" s="16"/>
      <c r="D54" s="50">
        <f>SUM(D49:AG49)</f>
        <v>36639894.344032675</v>
      </c>
    </row>
  </sheetData>
  <mergeCells count="2">
    <mergeCell ref="A1:B1"/>
    <mergeCell ref="A16:A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3d8cbab-9488-4f0d-88c8-b51454e11b65">
      <Terms xmlns="http://schemas.microsoft.com/office/infopath/2007/PartnerControls"/>
    </lcf76f155ced4ddcb4097134ff3c332f>
    <TaxCatchAll xmlns="63ea5650-dfc0-4da7-910b-076a9d7b33f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27FF1D29687545B65699548400EE43" ma:contentTypeVersion="15" ma:contentTypeDescription="Create a new document." ma:contentTypeScope="" ma:versionID="5551580728d294c90223096af41a17e3">
  <xsd:schema xmlns:xsd="http://www.w3.org/2001/XMLSchema" xmlns:xs="http://www.w3.org/2001/XMLSchema" xmlns:p="http://schemas.microsoft.com/office/2006/metadata/properties" xmlns:ns2="23d8cbab-9488-4f0d-88c8-b51454e11b65" xmlns:ns3="63ea5650-dfc0-4da7-910b-076a9d7b33fa" targetNamespace="http://schemas.microsoft.com/office/2006/metadata/properties" ma:root="true" ma:fieldsID="74e6003093d8ba04bb5546c24fc438ea" ns2:_="" ns3:_="">
    <xsd:import namespace="23d8cbab-9488-4f0d-88c8-b51454e11b65"/>
    <xsd:import namespace="63ea5650-dfc0-4da7-910b-076a9d7b33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d8cbab-9488-4f0d-88c8-b51454e11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ea5650-dfc0-4da7-910b-076a9d7b33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bd02b59-3699-4a82-bc1d-082b7becb33b}" ma:internalName="TaxCatchAll" ma:showField="CatchAllData" ma:web="63ea5650-dfc0-4da7-910b-076a9d7b33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3CEE91-5AEE-4985-8534-7CE01C8DB86F}"/>
</file>

<file path=customXml/itemProps2.xml><?xml version="1.0" encoding="utf-8"?>
<ds:datastoreItem xmlns:ds="http://schemas.openxmlformats.org/officeDocument/2006/customXml" ds:itemID="{C5753C71-32AC-40EC-8600-B9A05B33BA74}"/>
</file>

<file path=customXml/itemProps3.xml><?xml version="1.0" encoding="utf-8"?>
<ds:datastoreItem xmlns:ds="http://schemas.openxmlformats.org/officeDocument/2006/customXml" ds:itemID="{A0297FD6-86A7-488D-89D6-78CB16573FC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Sydoriak, Jason (Volpe)</cp:lastModifiedBy>
  <cp:revision/>
  <dcterms:created xsi:type="dcterms:W3CDTF">2006-09-16T00:00:00Z</dcterms:created>
  <dcterms:modified xsi:type="dcterms:W3CDTF">2024-02-21T21:39:48Z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0x0101000227FF1D29687545B65699548400EE43</vt:lpwstr>
  </property>
  <property fmtid="{D5CDD505-2E9C-101B-9397-08002B2CF9AE}" pid="3" name="MediaServiceImageTags">
    <vt:lpwstr/>
  </property>
</Properties>
</file>